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Tafadzwa Msonzah\Studio MArtini Ing Dropbox\7. Mogalakwena Municipality\Moordkoppie Mini Water Scheme 22\Tenders Documents\Final Tender Document\02122020 Tender Document\Package B\"/>
    </mc:Choice>
  </mc:AlternateContent>
  <xr:revisionPtr revIDLastSave="0" documentId="13_ncr:1_{46C4B76E-E942-4D7C-8CFC-6F2DCBCC7B9F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xport Summary" sheetId="1" r:id="rId1"/>
    <sheet name="Sched1 P&amp;G" sheetId="2" r:id="rId2"/>
    <sheet name="Sched2 Site Clearance" sheetId="3" r:id="rId3"/>
    <sheet name="Sched3 Wat Earthworks" sheetId="4" r:id="rId4"/>
    <sheet name="Sched4 Wat Pipeworks" sheetId="5" r:id="rId5"/>
    <sheet name="Summary" sheetId="6" r:id="rId6"/>
    <sheet name="Flexible  (2)" sheetId="7" r:id="rId7"/>
    <sheet name="Flexible Bulk Steel" sheetId="8" r:id="rId8"/>
    <sheet name="Flexible 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9" l="1"/>
  <c r="G85" i="9"/>
  <c r="C85" i="9"/>
  <c r="C83" i="9"/>
  <c r="G79" i="9"/>
  <c r="H79" i="9" s="1"/>
  <c r="I79" i="9" s="1"/>
  <c r="B79" i="9"/>
  <c r="B78" i="9"/>
  <c r="B77" i="9"/>
  <c r="A77" i="9"/>
  <c r="E77" i="9" s="1"/>
  <c r="B76" i="9"/>
  <c r="E76" i="9" s="1"/>
  <c r="A76" i="9"/>
  <c r="B75" i="9"/>
  <c r="B74" i="9"/>
  <c r="A74" i="9"/>
  <c r="E74" i="9" s="1"/>
  <c r="H73" i="9"/>
  <c r="I73" i="9" s="1"/>
  <c r="G73" i="9"/>
  <c r="E73" i="9"/>
  <c r="B73" i="9"/>
  <c r="A73" i="9"/>
  <c r="B72" i="9"/>
  <c r="A72" i="9"/>
  <c r="E72" i="9" s="1"/>
  <c r="B71" i="9"/>
  <c r="A71" i="9"/>
  <c r="E71" i="9" s="1"/>
  <c r="B70" i="9"/>
  <c r="E70" i="9" s="1"/>
  <c r="A70" i="9"/>
  <c r="B69" i="9"/>
  <c r="A69" i="9"/>
  <c r="F65" i="9"/>
  <c r="A61" i="9"/>
  <c r="A60" i="9"/>
  <c r="B55" i="9"/>
  <c r="H54" i="9"/>
  <c r="G54" i="9"/>
  <c r="B54" i="9"/>
  <c r="A54" i="9"/>
  <c r="H53" i="9"/>
  <c r="G53" i="9"/>
  <c r="B53" i="9"/>
  <c r="A53" i="9"/>
  <c r="H52" i="9"/>
  <c r="B52" i="9"/>
  <c r="A52" i="9"/>
  <c r="C51" i="9"/>
  <c r="B51" i="9"/>
  <c r="C50" i="9"/>
  <c r="B50" i="9"/>
  <c r="A50" i="9"/>
  <c r="B49" i="9"/>
  <c r="B56" i="9" s="1"/>
  <c r="A49" i="9"/>
  <c r="H48" i="9"/>
  <c r="G48" i="9"/>
  <c r="B48" i="9"/>
  <c r="A48" i="9"/>
  <c r="H47" i="9"/>
  <c r="G47" i="9"/>
  <c r="B47" i="9"/>
  <c r="A47" i="9"/>
  <c r="H46" i="9"/>
  <c r="B46" i="9"/>
  <c r="A46" i="9"/>
  <c r="B45" i="9"/>
  <c r="A45" i="9"/>
  <c r="J37" i="9"/>
  <c r="B37" i="9"/>
  <c r="B39" i="9" s="1"/>
  <c r="A35" i="9"/>
  <c r="C34" i="9"/>
  <c r="A34" i="9"/>
  <c r="A78" i="9" s="1"/>
  <c r="J33" i="9"/>
  <c r="L33" i="9" s="1"/>
  <c r="M33" i="9" s="1"/>
  <c r="C33" i="9"/>
  <c r="A33" i="9"/>
  <c r="J32" i="9"/>
  <c r="L32" i="9" s="1"/>
  <c r="M32" i="9" s="1"/>
  <c r="D32" i="9"/>
  <c r="C32" i="9"/>
  <c r="A32" i="9"/>
  <c r="M31" i="9"/>
  <c r="L31" i="9"/>
  <c r="J31" i="9"/>
  <c r="D31" i="9"/>
  <c r="D51" i="9" s="1"/>
  <c r="E51" i="9" s="1"/>
  <c r="F51" i="9" s="1"/>
  <c r="A31" i="9"/>
  <c r="I30" i="9"/>
  <c r="C30" i="9"/>
  <c r="C29" i="9"/>
  <c r="J28" i="9"/>
  <c r="C28" i="9"/>
  <c r="C27" i="9"/>
  <c r="C26" i="9"/>
  <c r="J25" i="9"/>
  <c r="I25" i="9"/>
  <c r="C25" i="9"/>
  <c r="O13" i="9"/>
  <c r="X12" i="9"/>
  <c r="X13" i="9" s="1"/>
  <c r="O12" i="9"/>
  <c r="X8" i="9"/>
  <c r="X10" i="9" s="1"/>
  <c r="O8" i="9"/>
  <c r="C52" i="9" s="1"/>
  <c r="AA7" i="9"/>
  <c r="X7" i="9"/>
  <c r="U7" i="9"/>
  <c r="R7" i="9"/>
  <c r="O7" i="9"/>
  <c r="L7" i="9"/>
  <c r="X6" i="9"/>
  <c r="O6" i="9"/>
  <c r="AA5" i="9"/>
  <c r="AA12" i="9" s="1"/>
  <c r="X5" i="9"/>
  <c r="U5" i="9"/>
  <c r="R5" i="9"/>
  <c r="O5" i="9"/>
  <c r="L5" i="9"/>
  <c r="AA4" i="9"/>
  <c r="X4" i="9"/>
  <c r="U4" i="9"/>
  <c r="R4" i="9"/>
  <c r="O4" i="9"/>
  <c r="L4" i="9"/>
  <c r="AA3" i="9"/>
  <c r="X3" i="9"/>
  <c r="U3" i="9"/>
  <c r="R3" i="9"/>
  <c r="O3" i="9"/>
  <c r="L3" i="9"/>
  <c r="I95" i="8"/>
  <c r="C86" i="8"/>
  <c r="G85" i="8"/>
  <c r="C85" i="8"/>
  <c r="C83" i="8"/>
  <c r="B79" i="8"/>
  <c r="E78" i="8"/>
  <c r="B78" i="8"/>
  <c r="B77" i="8"/>
  <c r="A77" i="8"/>
  <c r="E77" i="8" s="1"/>
  <c r="B76" i="8"/>
  <c r="A76" i="8"/>
  <c r="E76" i="8" s="1"/>
  <c r="B75" i="8"/>
  <c r="B74" i="8"/>
  <c r="A74" i="8"/>
  <c r="E74" i="8" s="1"/>
  <c r="E73" i="8"/>
  <c r="B73" i="8"/>
  <c r="A73" i="8"/>
  <c r="B72" i="8"/>
  <c r="A72" i="8"/>
  <c r="E72" i="8" s="1"/>
  <c r="B71" i="8"/>
  <c r="A71" i="8"/>
  <c r="G70" i="8"/>
  <c r="H70" i="8" s="1"/>
  <c r="I70" i="8" s="1"/>
  <c r="E70" i="8"/>
  <c r="B70" i="8"/>
  <c r="A70" i="8"/>
  <c r="B69" i="8"/>
  <c r="A69" i="8"/>
  <c r="E69" i="8" s="1"/>
  <c r="F65" i="8"/>
  <c r="A61" i="8"/>
  <c r="A60" i="8"/>
  <c r="B55" i="8"/>
  <c r="A55" i="8"/>
  <c r="H54" i="8"/>
  <c r="G54" i="8"/>
  <c r="B54" i="8"/>
  <c r="H53" i="8"/>
  <c r="G53" i="8"/>
  <c r="B53" i="8"/>
  <c r="A53" i="8"/>
  <c r="H52" i="8"/>
  <c r="C52" i="8"/>
  <c r="B52" i="8"/>
  <c r="A52" i="8"/>
  <c r="C51" i="8"/>
  <c r="B51" i="8"/>
  <c r="B50" i="8"/>
  <c r="A50" i="8"/>
  <c r="B49" i="8"/>
  <c r="A49" i="8"/>
  <c r="H48" i="8"/>
  <c r="G48" i="8"/>
  <c r="B48" i="8"/>
  <c r="A48" i="8"/>
  <c r="H47" i="8"/>
  <c r="G47" i="8"/>
  <c r="B47" i="8"/>
  <c r="A47" i="8"/>
  <c r="H46" i="8"/>
  <c r="B46" i="8"/>
  <c r="A46" i="8"/>
  <c r="B45" i="8"/>
  <c r="A45" i="8"/>
  <c r="J44" i="8"/>
  <c r="B37" i="8"/>
  <c r="L32" i="8" s="1"/>
  <c r="M32" i="8" s="1"/>
  <c r="A35" i="8"/>
  <c r="C34" i="8"/>
  <c r="A34" i="8"/>
  <c r="A78" i="8" s="1"/>
  <c r="J33" i="8"/>
  <c r="D33" i="8"/>
  <c r="E33" i="8" s="1"/>
  <c r="F33" i="8" s="1"/>
  <c r="C33" i="8"/>
  <c r="A33" i="8"/>
  <c r="J32" i="8"/>
  <c r="D32" i="8"/>
  <c r="E32" i="8" s="1"/>
  <c r="F32" i="8" s="1"/>
  <c r="C32" i="8"/>
  <c r="A32" i="8"/>
  <c r="J31" i="8"/>
  <c r="J34" i="8" s="1"/>
  <c r="A31" i="8"/>
  <c r="J30" i="8"/>
  <c r="J51" i="8" s="1"/>
  <c r="I30" i="8"/>
  <c r="J37" i="8" s="1"/>
  <c r="C30" i="8"/>
  <c r="C29" i="8"/>
  <c r="C28" i="8"/>
  <c r="J27" i="8"/>
  <c r="J26" i="8" s="1"/>
  <c r="J29" i="8" s="1"/>
  <c r="C27" i="8"/>
  <c r="C26" i="8"/>
  <c r="J25" i="8"/>
  <c r="M28" i="8" s="1"/>
  <c r="I25" i="8"/>
  <c r="J28" i="8" s="1"/>
  <c r="C25" i="8"/>
  <c r="X13" i="8"/>
  <c r="R13" i="8"/>
  <c r="X12" i="8"/>
  <c r="O12" i="8"/>
  <c r="G78" i="8" s="1"/>
  <c r="H78" i="8" s="1"/>
  <c r="I78" i="8" s="1"/>
  <c r="X10" i="8"/>
  <c r="X8" i="8"/>
  <c r="R8" i="8"/>
  <c r="R10" i="8" s="1"/>
  <c r="O8" i="8"/>
  <c r="AA7" i="8"/>
  <c r="X7" i="8"/>
  <c r="U7" i="8"/>
  <c r="R7" i="8"/>
  <c r="O7" i="8"/>
  <c r="L7" i="8"/>
  <c r="X6" i="8"/>
  <c r="O6" i="8"/>
  <c r="AA5" i="8"/>
  <c r="X5" i="8"/>
  <c r="U5" i="8"/>
  <c r="U6" i="8" s="1"/>
  <c r="R5" i="8"/>
  <c r="R12" i="8" s="1"/>
  <c r="O5" i="8"/>
  <c r="L5" i="8"/>
  <c r="L6" i="8" s="1"/>
  <c r="B5" i="8"/>
  <c r="AA4" i="8"/>
  <c r="X4" i="8"/>
  <c r="U4" i="8"/>
  <c r="R4" i="8"/>
  <c r="O4" i="8"/>
  <c r="L4" i="8"/>
  <c r="AA3" i="8"/>
  <c r="X3" i="8"/>
  <c r="U3" i="8"/>
  <c r="R3" i="8"/>
  <c r="O3" i="8"/>
  <c r="L3" i="8"/>
  <c r="I95" i="7"/>
  <c r="G85" i="7"/>
  <c r="G83" i="7" s="1"/>
  <c r="C85" i="7"/>
  <c r="C83" i="7"/>
  <c r="C86" i="7" s="1"/>
  <c r="B79" i="7"/>
  <c r="E78" i="7"/>
  <c r="B78" i="7"/>
  <c r="B77" i="7"/>
  <c r="B76" i="7"/>
  <c r="E76" i="7" s="1"/>
  <c r="B75" i="7"/>
  <c r="H74" i="7"/>
  <c r="I74" i="7" s="1"/>
  <c r="G74" i="7"/>
  <c r="B74" i="7"/>
  <c r="A74" i="7"/>
  <c r="E74" i="7" s="1"/>
  <c r="G73" i="7"/>
  <c r="H73" i="7" s="1"/>
  <c r="I73" i="7" s="1"/>
  <c r="E73" i="7"/>
  <c r="B73" i="7"/>
  <c r="A73" i="7"/>
  <c r="E72" i="7"/>
  <c r="B72" i="7"/>
  <c r="A72" i="7"/>
  <c r="G71" i="7"/>
  <c r="H71" i="7" s="1"/>
  <c r="I71" i="7" s="1"/>
  <c r="B71" i="7"/>
  <c r="A71" i="7"/>
  <c r="E71" i="7" s="1"/>
  <c r="H70" i="7"/>
  <c r="I70" i="7" s="1"/>
  <c r="G70" i="7"/>
  <c r="B70" i="7"/>
  <c r="E70" i="7" s="1"/>
  <c r="A70" i="7"/>
  <c r="B69" i="7"/>
  <c r="A69" i="7"/>
  <c r="E69" i="7" s="1"/>
  <c r="F65" i="7"/>
  <c r="A61" i="7"/>
  <c r="A60" i="7"/>
  <c r="B55" i="7"/>
  <c r="H54" i="7"/>
  <c r="G54" i="7"/>
  <c r="B54" i="7"/>
  <c r="H53" i="7"/>
  <c r="G53" i="7"/>
  <c r="B53" i="7"/>
  <c r="H52" i="7"/>
  <c r="B52" i="7"/>
  <c r="B51" i="7"/>
  <c r="B50" i="7"/>
  <c r="A50" i="7"/>
  <c r="B49" i="7"/>
  <c r="A49" i="7"/>
  <c r="H48" i="7"/>
  <c r="G48" i="7"/>
  <c r="B48" i="7"/>
  <c r="A48" i="7"/>
  <c r="H47" i="7"/>
  <c r="G47" i="7"/>
  <c r="B47" i="7"/>
  <c r="A47" i="7"/>
  <c r="H46" i="7"/>
  <c r="B46" i="7"/>
  <c r="A46" i="7"/>
  <c r="B45" i="7"/>
  <c r="A45" i="7"/>
  <c r="J44" i="7"/>
  <c r="J37" i="7"/>
  <c r="B37" i="7"/>
  <c r="B39" i="7" s="1"/>
  <c r="A35" i="7"/>
  <c r="A55" i="7" s="1"/>
  <c r="C34" i="7"/>
  <c r="A34" i="7"/>
  <c r="A78" i="7" s="1"/>
  <c r="J33" i="7"/>
  <c r="C33" i="7"/>
  <c r="A33" i="7"/>
  <c r="A77" i="7" s="1"/>
  <c r="E77" i="7" s="1"/>
  <c r="J32" i="7"/>
  <c r="C32" i="7"/>
  <c r="A32" i="7"/>
  <c r="A76" i="7" s="1"/>
  <c r="L31" i="7"/>
  <c r="M31" i="7" s="1"/>
  <c r="J31" i="7"/>
  <c r="J34" i="7" s="1"/>
  <c r="J35" i="7" s="1"/>
  <c r="A31" i="7"/>
  <c r="J30" i="7"/>
  <c r="J51" i="7" s="1"/>
  <c r="I30" i="7"/>
  <c r="J36" i="7" s="1"/>
  <c r="J38" i="7" s="1"/>
  <c r="C30" i="7"/>
  <c r="C29" i="7"/>
  <c r="M28" i="7"/>
  <c r="C28" i="7"/>
  <c r="C27" i="7"/>
  <c r="C26" i="7"/>
  <c r="J25" i="7"/>
  <c r="I25" i="7"/>
  <c r="J28" i="7" s="1"/>
  <c r="C25" i="7"/>
  <c r="AA12" i="7"/>
  <c r="R12" i="7"/>
  <c r="D34" i="7" s="1"/>
  <c r="O12" i="7"/>
  <c r="D31" i="7" s="1"/>
  <c r="X10" i="7"/>
  <c r="X8" i="7"/>
  <c r="U8" i="7"/>
  <c r="AA7" i="7"/>
  <c r="X7" i="7"/>
  <c r="U7" i="7"/>
  <c r="R7" i="7"/>
  <c r="O7" i="7"/>
  <c r="L7" i="7"/>
  <c r="AA6" i="7"/>
  <c r="O6" i="7"/>
  <c r="L6" i="7"/>
  <c r="AA5" i="7"/>
  <c r="AA8" i="7" s="1"/>
  <c r="AA10" i="7" s="1"/>
  <c r="X5" i="7"/>
  <c r="X6" i="7" s="1"/>
  <c r="U5" i="7"/>
  <c r="U6" i="7" s="1"/>
  <c r="R5" i="7"/>
  <c r="R6" i="7" s="1"/>
  <c r="O5" i="7"/>
  <c r="O8" i="7" s="1"/>
  <c r="L5" i="7"/>
  <c r="B5" i="7"/>
  <c r="AA4" i="7"/>
  <c r="X4" i="7"/>
  <c r="U4" i="7"/>
  <c r="R4" i="7"/>
  <c r="O4" i="7"/>
  <c r="L4" i="7"/>
  <c r="AA3" i="7"/>
  <c r="X3" i="7"/>
  <c r="U3" i="7"/>
  <c r="R3" i="7"/>
  <c r="O3" i="7"/>
  <c r="L3" i="7"/>
  <c r="C11" i="6"/>
  <c r="B11" i="6" s="1"/>
  <c r="C10" i="6"/>
  <c r="B10" i="6"/>
  <c r="C9" i="6"/>
  <c r="C8" i="6"/>
  <c r="H186" i="5"/>
  <c r="H184" i="5"/>
  <c r="H181" i="5"/>
  <c r="H182" i="5" s="1"/>
  <c r="H179" i="5"/>
  <c r="H177" i="5"/>
  <c r="H174" i="5"/>
  <c r="H175" i="5" s="1"/>
  <c r="R171" i="5"/>
  <c r="L171" i="5"/>
  <c r="L170" i="5"/>
  <c r="R169" i="5"/>
  <c r="L169" i="5"/>
  <c r="L168" i="5"/>
  <c r="R167" i="5"/>
  <c r="L167" i="5"/>
  <c r="L166" i="5"/>
  <c r="R165" i="5"/>
  <c r="L165" i="5"/>
  <c r="L164" i="5"/>
  <c r="L163" i="5"/>
  <c r="L162" i="5"/>
  <c r="L161" i="5"/>
  <c r="L160" i="5"/>
  <c r="L159" i="5"/>
  <c r="R158" i="5"/>
  <c r="L158" i="5"/>
  <c r="L157" i="5"/>
  <c r="R156" i="5"/>
  <c r="L156" i="5"/>
  <c r="L155" i="5"/>
  <c r="R154" i="5"/>
  <c r="L154" i="5"/>
  <c r="L153" i="5"/>
  <c r="R152" i="5"/>
  <c r="L152" i="5"/>
  <c r="L151" i="5"/>
  <c r="L150" i="5"/>
  <c r="L149" i="5"/>
  <c r="H149" i="5"/>
  <c r="H150" i="5" s="1"/>
  <c r="L148" i="5"/>
  <c r="L147" i="5"/>
  <c r="R146" i="5"/>
  <c r="L146" i="5"/>
  <c r="R142" i="5"/>
  <c r="L142" i="5"/>
  <c r="L141" i="5"/>
  <c r="L140" i="5"/>
  <c r="L139" i="5"/>
  <c r="L138" i="5"/>
  <c r="R122" i="5"/>
  <c r="L122" i="5"/>
  <c r="L121" i="5"/>
  <c r="R120" i="5"/>
  <c r="L120" i="5"/>
  <c r="L119" i="5"/>
  <c r="R118" i="5"/>
  <c r="L118" i="5"/>
  <c r="L117" i="5"/>
  <c r="R116" i="5"/>
  <c r="L116" i="5"/>
  <c r="L115" i="5"/>
  <c r="R114" i="5"/>
  <c r="L114" i="5"/>
  <c r="L113" i="5"/>
  <c r="H113" i="5"/>
  <c r="L112" i="5"/>
  <c r="L111" i="5"/>
  <c r="R110" i="5"/>
  <c r="L110" i="5"/>
  <c r="L109" i="5"/>
  <c r="R108" i="5"/>
  <c r="L108" i="5"/>
  <c r="L107" i="5"/>
  <c r="R106" i="5"/>
  <c r="L106" i="5"/>
  <c r="L105" i="5"/>
  <c r="R104" i="5"/>
  <c r="L104" i="5"/>
  <c r="L103" i="5"/>
  <c r="H103" i="5"/>
  <c r="L102" i="5"/>
  <c r="L101" i="5"/>
  <c r="R100" i="5"/>
  <c r="L100" i="5" s="1"/>
  <c r="L99" i="5"/>
  <c r="R98" i="5"/>
  <c r="L98" i="5" s="1"/>
  <c r="L97" i="5"/>
  <c r="R96" i="5"/>
  <c r="L96" i="5" s="1"/>
  <c r="L95" i="5"/>
  <c r="L94" i="5"/>
  <c r="L93" i="5"/>
  <c r="R92" i="5"/>
  <c r="L92" i="5" s="1"/>
  <c r="L91" i="5"/>
  <c r="R90" i="5"/>
  <c r="L90" i="5" s="1"/>
  <c r="L89" i="5"/>
  <c r="R88" i="5"/>
  <c r="L88" i="5" s="1"/>
  <c r="L87" i="5"/>
  <c r="R86" i="5"/>
  <c r="L86" i="5" s="1"/>
  <c r="L85" i="5"/>
  <c r="R84" i="5"/>
  <c r="L84" i="5" s="1"/>
  <c r="L83" i="5"/>
  <c r="L82" i="5"/>
  <c r="L81" i="5"/>
  <c r="R80" i="5"/>
  <c r="L80" i="5"/>
  <c r="L79" i="5"/>
  <c r="R78" i="5"/>
  <c r="L78" i="5"/>
  <c r="L77" i="5"/>
  <c r="R76" i="5"/>
  <c r="L76" i="5"/>
  <c r="L75" i="5"/>
  <c r="R74" i="5"/>
  <c r="L74" i="5"/>
  <c r="L73" i="5"/>
  <c r="L72" i="5"/>
  <c r="L71" i="5"/>
  <c r="L70" i="5"/>
  <c r="L69" i="5"/>
  <c r="L68" i="5"/>
  <c r="R61" i="5"/>
  <c r="L61" i="5"/>
  <c r="L60" i="5"/>
  <c r="R59" i="5"/>
  <c r="L59" i="5"/>
  <c r="L58" i="5"/>
  <c r="R57" i="5"/>
  <c r="L57" i="5"/>
  <c r="L56" i="5"/>
  <c r="R55" i="5"/>
  <c r="L55" i="5"/>
  <c r="L54" i="5"/>
  <c r="L53" i="5"/>
  <c r="L52" i="5"/>
  <c r="R51" i="5"/>
  <c r="L51" i="5"/>
  <c r="L50" i="5"/>
  <c r="R49" i="5"/>
  <c r="L49" i="5"/>
  <c r="L48" i="5"/>
  <c r="R47" i="5"/>
  <c r="L47" i="5"/>
  <c r="L46" i="5"/>
  <c r="R45" i="5"/>
  <c r="L45" i="5"/>
  <c r="L44" i="5"/>
  <c r="L43" i="5"/>
  <c r="L42" i="5"/>
  <c r="R41" i="5"/>
  <c r="L41" i="5"/>
  <c r="L40" i="5"/>
  <c r="R39" i="5"/>
  <c r="L39" i="5"/>
  <c r="L38" i="5"/>
  <c r="R37" i="5"/>
  <c r="L37" i="5"/>
  <c r="L36" i="5"/>
  <c r="R35" i="5"/>
  <c r="L35" i="5"/>
  <c r="L29" i="5"/>
  <c r="L28" i="5"/>
  <c r="L27" i="5"/>
  <c r="L26" i="5"/>
  <c r="L25" i="5"/>
  <c r="R24" i="5"/>
  <c r="K24" i="5"/>
  <c r="L24" i="5" s="1"/>
  <c r="F24" i="5" s="1"/>
  <c r="L23" i="5"/>
  <c r="F23" i="5" s="1"/>
  <c r="R22" i="5"/>
  <c r="K22" i="5"/>
  <c r="L22" i="5" s="1"/>
  <c r="L21" i="5"/>
  <c r="R20" i="5"/>
  <c r="K20" i="5"/>
  <c r="L20" i="5" s="1"/>
  <c r="L19" i="5"/>
  <c r="R18" i="5"/>
  <c r="K18" i="5"/>
  <c r="L18" i="5" s="1"/>
  <c r="G69" i="5" s="1"/>
  <c r="G70" i="5" s="1"/>
  <c r="G4" i="5"/>
  <c r="D4" i="5"/>
  <c r="G59" i="4"/>
  <c r="H39" i="4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37" i="4"/>
  <c r="H35" i="4"/>
  <c r="E32" i="4"/>
  <c r="E23" i="4"/>
  <c r="E21" i="4"/>
  <c r="E27" i="4" s="1"/>
  <c r="L5" i="4"/>
  <c r="L4" i="4"/>
  <c r="M4" i="4" s="1"/>
  <c r="C4" i="4"/>
  <c r="L3" i="4"/>
  <c r="M3" i="4" s="1"/>
  <c r="L2" i="4"/>
  <c r="M2" i="4" s="1"/>
  <c r="G2" i="4"/>
  <c r="E13" i="3"/>
  <c r="G62" i="3" s="1"/>
  <c r="L4" i="3"/>
  <c r="J4" i="3"/>
  <c r="G4" i="3"/>
  <c r="E4" i="3"/>
  <c r="G1" i="3"/>
  <c r="G215" i="2"/>
  <c r="G217" i="2" s="1"/>
  <c r="G210" i="2"/>
  <c r="G156" i="2"/>
  <c r="G150" i="2"/>
  <c r="G67" i="2"/>
  <c r="G68" i="2" s="1"/>
  <c r="G132" i="2" s="1"/>
  <c r="G133" i="2" s="1"/>
  <c r="D4" i="2"/>
  <c r="G139" i="5" l="1"/>
  <c r="G140" i="5" s="1"/>
  <c r="G190" i="5" s="1"/>
  <c r="C21" i="6"/>
  <c r="C22" i="6" s="1"/>
  <c r="C23" i="6" s="1"/>
  <c r="C24" i="6" s="1"/>
  <c r="C25" i="6" s="1"/>
  <c r="G335" i="2"/>
  <c r="G336" i="2" s="1"/>
  <c r="G403" i="2" s="1"/>
  <c r="G404" i="2" s="1"/>
  <c r="G472" i="2" s="1"/>
  <c r="E51" i="4"/>
  <c r="G86" i="7"/>
  <c r="A75" i="9"/>
  <c r="E75" i="9" s="1"/>
  <c r="A51" i="9"/>
  <c r="C31" i="9"/>
  <c r="K31" i="9" s="1"/>
  <c r="E29" i="4"/>
  <c r="B8" i="7"/>
  <c r="B12" i="7"/>
  <c r="B6" i="7"/>
  <c r="C55" i="7"/>
  <c r="U10" i="7"/>
  <c r="C53" i="7"/>
  <c r="A79" i="7"/>
  <c r="E79" i="7" s="1"/>
  <c r="C35" i="7"/>
  <c r="E32" i="9"/>
  <c r="F32" i="9" s="1"/>
  <c r="D52" i="9"/>
  <c r="E52" i="9" s="1"/>
  <c r="F52" i="9" s="1"/>
  <c r="L8" i="7"/>
  <c r="L12" i="7"/>
  <c r="L33" i="7"/>
  <c r="M33" i="7" s="1"/>
  <c r="B12" i="8"/>
  <c r="B6" i="8"/>
  <c r="B8" i="8"/>
  <c r="C86" i="9"/>
  <c r="E83" i="9"/>
  <c r="AA13" i="7"/>
  <c r="AA14" i="7"/>
  <c r="O10" i="7"/>
  <c r="O14" i="7" s="1"/>
  <c r="C50" i="7"/>
  <c r="C51" i="7"/>
  <c r="L8" i="8"/>
  <c r="L12" i="8"/>
  <c r="I39" i="8"/>
  <c r="L28" i="8"/>
  <c r="U8" i="9"/>
  <c r="U12" i="9"/>
  <c r="U6" i="9"/>
  <c r="J44" i="9"/>
  <c r="M28" i="9"/>
  <c r="M37" i="9" s="1"/>
  <c r="E49" i="4"/>
  <c r="L31" i="8"/>
  <c r="M31" i="8" s="1"/>
  <c r="M37" i="8" s="1"/>
  <c r="B39" i="8"/>
  <c r="L33" i="8"/>
  <c r="M33" i="8" s="1"/>
  <c r="E78" i="9"/>
  <c r="D51" i="7"/>
  <c r="E51" i="7" s="1"/>
  <c r="F51" i="7" s="1"/>
  <c r="L32" i="7"/>
  <c r="M32" i="7" s="1"/>
  <c r="M37" i="7" s="1"/>
  <c r="B56" i="7"/>
  <c r="C52" i="7"/>
  <c r="E34" i="7"/>
  <c r="F34" i="7" s="1"/>
  <c r="D54" i="7"/>
  <c r="A75" i="7"/>
  <c r="E75" i="7" s="1"/>
  <c r="E81" i="7" s="1"/>
  <c r="E83" i="7" s="1"/>
  <c r="C31" i="7"/>
  <c r="K31" i="7" s="1"/>
  <c r="A51" i="7"/>
  <c r="C54" i="7"/>
  <c r="J27" i="9"/>
  <c r="J26" i="9" s="1"/>
  <c r="J29" i="9" s="1"/>
  <c r="U12" i="7"/>
  <c r="J27" i="7"/>
  <c r="J26" i="7" s="1"/>
  <c r="J29" i="7" s="1"/>
  <c r="A52" i="7"/>
  <c r="A53" i="7"/>
  <c r="G79" i="7"/>
  <c r="H79" i="7" s="1"/>
  <c r="I79" i="7" s="1"/>
  <c r="AA6" i="8"/>
  <c r="AA8" i="8"/>
  <c r="AA10" i="8" s="1"/>
  <c r="AA12" i="8"/>
  <c r="C31" i="8"/>
  <c r="K31" i="8" s="1"/>
  <c r="A75" i="8"/>
  <c r="E75" i="8" s="1"/>
  <c r="A51" i="8"/>
  <c r="A79" i="8"/>
  <c r="E79" i="8" s="1"/>
  <c r="C35" i="8"/>
  <c r="G71" i="8"/>
  <c r="H71" i="8" s="1"/>
  <c r="I71" i="8" s="1"/>
  <c r="G74" i="8"/>
  <c r="H74" i="8" s="1"/>
  <c r="I74" i="8" s="1"/>
  <c r="G78" i="9"/>
  <c r="H78" i="9" s="1"/>
  <c r="I78" i="9" s="1"/>
  <c r="G70" i="9"/>
  <c r="H70" i="9" s="1"/>
  <c r="I70" i="9" s="1"/>
  <c r="G77" i="9"/>
  <c r="H77" i="9" s="1"/>
  <c r="I77" i="9" s="1"/>
  <c r="G69" i="9"/>
  <c r="H69" i="9" s="1"/>
  <c r="G76" i="9"/>
  <c r="H76" i="9" s="1"/>
  <c r="I76" i="9" s="1"/>
  <c r="G75" i="9"/>
  <c r="H75" i="9" s="1"/>
  <c r="I75" i="9" s="1"/>
  <c r="G72" i="9"/>
  <c r="H72" i="9" s="1"/>
  <c r="I72" i="9" s="1"/>
  <c r="O14" i="9"/>
  <c r="D30" i="9"/>
  <c r="R8" i="7"/>
  <c r="R10" i="7" s="1"/>
  <c r="X12" i="7"/>
  <c r="A54" i="7"/>
  <c r="G69" i="7"/>
  <c r="H69" i="7" s="1"/>
  <c r="G75" i="7"/>
  <c r="H75" i="7" s="1"/>
  <c r="I75" i="7" s="1"/>
  <c r="B56" i="8"/>
  <c r="G76" i="8"/>
  <c r="H76" i="8" s="1"/>
  <c r="I76" i="8" s="1"/>
  <c r="G79" i="8"/>
  <c r="H79" i="8" s="1"/>
  <c r="I79" i="8" s="1"/>
  <c r="R12" i="9"/>
  <c r="R6" i="9"/>
  <c r="R8" i="9"/>
  <c r="R10" i="9" s="1"/>
  <c r="J30" i="9"/>
  <c r="J51" i="9" s="1"/>
  <c r="B5" i="9"/>
  <c r="E69" i="9"/>
  <c r="E81" i="9" s="1"/>
  <c r="E85" i="9" s="1"/>
  <c r="G83" i="9"/>
  <c r="G72" i="7"/>
  <c r="H72" i="7" s="1"/>
  <c r="I72" i="7" s="1"/>
  <c r="O10" i="8"/>
  <c r="C50" i="8"/>
  <c r="D30" i="8"/>
  <c r="D53" i="8"/>
  <c r="E71" i="8"/>
  <c r="E81" i="8" s="1"/>
  <c r="AA13" i="9"/>
  <c r="G71" i="9"/>
  <c r="H71" i="9" s="1"/>
  <c r="I71" i="9" s="1"/>
  <c r="G74" i="9"/>
  <c r="H74" i="9" s="1"/>
  <c r="I74" i="9" s="1"/>
  <c r="O13" i="7"/>
  <c r="R14" i="7"/>
  <c r="R14" i="8"/>
  <c r="G75" i="8"/>
  <c r="H75" i="8" s="1"/>
  <c r="I75" i="8" s="1"/>
  <c r="G73" i="8"/>
  <c r="H73" i="8" s="1"/>
  <c r="I73" i="8" s="1"/>
  <c r="D31" i="8"/>
  <c r="O13" i="8"/>
  <c r="G72" i="8"/>
  <c r="H72" i="8" s="1"/>
  <c r="I72" i="8" s="1"/>
  <c r="O14" i="8"/>
  <c r="G77" i="8"/>
  <c r="H77" i="8" s="1"/>
  <c r="I77" i="8" s="1"/>
  <c r="G69" i="8"/>
  <c r="H69" i="8" s="1"/>
  <c r="D34" i="8"/>
  <c r="A55" i="9"/>
  <c r="C35" i="9"/>
  <c r="A79" i="9"/>
  <c r="E79" i="9" s="1"/>
  <c r="G78" i="7"/>
  <c r="H78" i="7" s="1"/>
  <c r="I78" i="7" s="1"/>
  <c r="G77" i="7"/>
  <c r="H77" i="7" s="1"/>
  <c r="I77" i="7" s="1"/>
  <c r="R13" i="7"/>
  <c r="D30" i="7"/>
  <c r="D32" i="7"/>
  <c r="D33" i="7"/>
  <c r="U8" i="8"/>
  <c r="U12" i="8"/>
  <c r="G83" i="8"/>
  <c r="G76" i="7"/>
  <c r="H76" i="7" s="1"/>
  <c r="I76" i="7" s="1"/>
  <c r="X14" i="8"/>
  <c r="D52" i="8"/>
  <c r="E52" i="8" s="1"/>
  <c r="F52" i="8" s="1"/>
  <c r="L6" i="9"/>
  <c r="L8" i="9"/>
  <c r="L12" i="9"/>
  <c r="J36" i="8"/>
  <c r="J38" i="8" s="1"/>
  <c r="J35" i="8" s="1"/>
  <c r="A54" i="8"/>
  <c r="AA8" i="9"/>
  <c r="AA10" i="9" s="1"/>
  <c r="AA14" i="9" s="1"/>
  <c r="R6" i="8"/>
  <c r="AA6" i="9"/>
  <c r="O10" i="9"/>
  <c r="X14" i="9"/>
  <c r="J34" i="9"/>
  <c r="J36" i="9"/>
  <c r="J38" i="9" s="1"/>
  <c r="I39" i="9" l="1"/>
  <c r="L28" i="9"/>
  <c r="L34" i="9" s="1"/>
  <c r="E85" i="8"/>
  <c r="E83" i="8"/>
  <c r="C76" i="7"/>
  <c r="D76" i="7" s="1"/>
  <c r="F76" i="7" s="1"/>
  <c r="C74" i="7"/>
  <c r="D74" i="7" s="1"/>
  <c r="F74" i="7" s="1"/>
  <c r="C75" i="7"/>
  <c r="D75" i="7" s="1"/>
  <c r="F75" i="7" s="1"/>
  <c r="E30" i="7"/>
  <c r="F30" i="7" s="1"/>
  <c r="D50" i="7"/>
  <c r="E50" i="7" s="1"/>
  <c r="F50" i="7" s="1"/>
  <c r="L28" i="7"/>
  <c r="L34" i="7" s="1"/>
  <c r="I39" i="7"/>
  <c r="C48" i="8"/>
  <c r="C46" i="8"/>
  <c r="C47" i="8"/>
  <c r="L10" i="8"/>
  <c r="C49" i="8"/>
  <c r="D27" i="7"/>
  <c r="D26" i="7"/>
  <c r="D25" i="7"/>
  <c r="B13" i="7"/>
  <c r="B12" i="9"/>
  <c r="B8" i="9"/>
  <c r="B6" i="9"/>
  <c r="C74" i="9"/>
  <c r="D74" i="9" s="1"/>
  <c r="F74" i="9" s="1"/>
  <c r="C76" i="9"/>
  <c r="D76" i="9" s="1"/>
  <c r="F76" i="9" s="1"/>
  <c r="C75" i="9"/>
  <c r="D75" i="9" s="1"/>
  <c r="F75" i="9" s="1"/>
  <c r="U13" i="7"/>
  <c r="U14" i="7"/>
  <c r="D35" i="7"/>
  <c r="E54" i="7"/>
  <c r="F54" i="7" s="1"/>
  <c r="E31" i="7"/>
  <c r="F31" i="7" s="1"/>
  <c r="C45" i="8"/>
  <c r="B10" i="8"/>
  <c r="C45" i="7"/>
  <c r="B10" i="7"/>
  <c r="B14" i="7" s="1"/>
  <c r="C69" i="7" s="1"/>
  <c r="D69" i="7" s="1"/>
  <c r="C79" i="7"/>
  <c r="D79" i="7" s="1"/>
  <c r="F79" i="7" s="1"/>
  <c r="C78" i="7"/>
  <c r="D78" i="7" s="1"/>
  <c r="F78" i="7" s="1"/>
  <c r="C77" i="7"/>
  <c r="D77" i="7" s="1"/>
  <c r="F77" i="7" s="1"/>
  <c r="D33" i="9"/>
  <c r="R14" i="9"/>
  <c r="D34" i="9"/>
  <c r="R13" i="9"/>
  <c r="D51" i="8"/>
  <c r="E51" i="8" s="1"/>
  <c r="F51" i="8" s="1"/>
  <c r="E31" i="8"/>
  <c r="F31" i="8" s="1"/>
  <c r="E30" i="8"/>
  <c r="F30" i="8" s="1"/>
  <c r="D50" i="8"/>
  <c r="E50" i="8" s="1"/>
  <c r="F50" i="8" s="1"/>
  <c r="E30" i="9"/>
  <c r="F30" i="9" s="1"/>
  <c r="D50" i="9"/>
  <c r="E50" i="9" s="1"/>
  <c r="F50" i="9" s="1"/>
  <c r="J35" i="9"/>
  <c r="D28" i="9"/>
  <c r="D29" i="9"/>
  <c r="L13" i="9"/>
  <c r="L14" i="9"/>
  <c r="E34" i="8"/>
  <c r="F34" i="8" s="1"/>
  <c r="D54" i="8"/>
  <c r="E54" i="8" s="1"/>
  <c r="F54" i="8" s="1"/>
  <c r="E31" i="9"/>
  <c r="F31" i="9" s="1"/>
  <c r="AA13" i="8"/>
  <c r="AA14" i="8"/>
  <c r="E32" i="7"/>
  <c r="F32" i="7" s="1"/>
  <c r="D52" i="7"/>
  <c r="E52" i="7" s="1"/>
  <c r="F52" i="7" s="1"/>
  <c r="H81" i="7"/>
  <c r="I69" i="7"/>
  <c r="I81" i="7" s="1"/>
  <c r="C55" i="8"/>
  <c r="C54" i="8"/>
  <c r="U10" i="8"/>
  <c r="C53" i="8"/>
  <c r="E53" i="8" s="1"/>
  <c r="F53" i="8" s="1"/>
  <c r="E33" i="7"/>
  <c r="F33" i="7" s="1"/>
  <c r="D53" i="7"/>
  <c r="E53" i="7" s="1"/>
  <c r="F53" i="7" s="1"/>
  <c r="C49" i="7"/>
  <c r="L10" i="7"/>
  <c r="C48" i="7"/>
  <c r="C47" i="7"/>
  <c r="C46" i="7"/>
  <c r="G86" i="9"/>
  <c r="L13" i="8"/>
  <c r="D29" i="8"/>
  <c r="D28" i="8"/>
  <c r="L14" i="8"/>
  <c r="C48" i="9"/>
  <c r="C49" i="9"/>
  <c r="L10" i="9"/>
  <c r="C47" i="9"/>
  <c r="C46" i="9"/>
  <c r="G86" i="8"/>
  <c r="H81" i="8"/>
  <c r="I69" i="8"/>
  <c r="I81" i="8" s="1"/>
  <c r="C79" i="8"/>
  <c r="D79" i="8" s="1"/>
  <c r="F79" i="8" s="1"/>
  <c r="C77" i="8"/>
  <c r="D77" i="8" s="1"/>
  <c r="F77" i="8" s="1"/>
  <c r="C78" i="8"/>
  <c r="D78" i="8" s="1"/>
  <c r="F78" i="8" s="1"/>
  <c r="U13" i="9"/>
  <c r="U14" i="9"/>
  <c r="D35" i="9"/>
  <c r="D27" i="8"/>
  <c r="D26" i="8"/>
  <c r="B14" i="8"/>
  <c r="C69" i="8" s="1"/>
  <c r="D69" i="8" s="1"/>
  <c r="D25" i="8"/>
  <c r="B13" i="8"/>
  <c r="U13" i="8"/>
  <c r="D35" i="8"/>
  <c r="U14" i="8"/>
  <c r="E85" i="7"/>
  <c r="C53" i="9"/>
  <c r="C55" i="9"/>
  <c r="U10" i="9"/>
  <c r="C54" i="9"/>
  <c r="C76" i="8"/>
  <c r="D76" i="8" s="1"/>
  <c r="F76" i="8" s="1"/>
  <c r="C74" i="8"/>
  <c r="D74" i="8" s="1"/>
  <c r="F74" i="8" s="1"/>
  <c r="C75" i="8"/>
  <c r="D75" i="8" s="1"/>
  <c r="F75" i="8" s="1"/>
  <c r="X14" i="7"/>
  <c r="X13" i="7"/>
  <c r="H81" i="9"/>
  <c r="H83" i="9" s="1"/>
  <c r="I69" i="9"/>
  <c r="I81" i="9" s="1"/>
  <c r="L34" i="8"/>
  <c r="L13" i="7"/>
  <c r="D29" i="7"/>
  <c r="D28" i="7"/>
  <c r="L14" i="7"/>
  <c r="I83" i="9" l="1"/>
  <c r="F69" i="7"/>
  <c r="C73" i="7"/>
  <c r="D73" i="7" s="1"/>
  <c r="F73" i="7" s="1"/>
  <c r="C71" i="7"/>
  <c r="D71" i="7" s="1"/>
  <c r="F71" i="7" s="1"/>
  <c r="C70" i="7"/>
  <c r="D70" i="7" s="1"/>
  <c r="F70" i="7" s="1"/>
  <c r="C72" i="7"/>
  <c r="D72" i="7" s="1"/>
  <c r="F72" i="7" s="1"/>
  <c r="D47" i="8"/>
  <c r="E47" i="8" s="1"/>
  <c r="F47" i="8" s="1"/>
  <c r="E27" i="8"/>
  <c r="F27" i="8" s="1"/>
  <c r="D45" i="7"/>
  <c r="E45" i="7" s="1"/>
  <c r="E25" i="7"/>
  <c r="E33" i="9"/>
  <c r="F33" i="9" s="1"/>
  <c r="D53" i="9"/>
  <c r="E53" i="9" s="1"/>
  <c r="F53" i="9" s="1"/>
  <c r="C45" i="9"/>
  <c r="B10" i="9"/>
  <c r="B14" i="9" s="1"/>
  <c r="C69" i="9" s="1"/>
  <c r="D69" i="9" s="1"/>
  <c r="C73" i="9"/>
  <c r="D73" i="9" s="1"/>
  <c r="F73" i="9" s="1"/>
  <c r="C72" i="9"/>
  <c r="D72" i="9" s="1"/>
  <c r="F72" i="9" s="1"/>
  <c r="C71" i="9"/>
  <c r="D71" i="9" s="1"/>
  <c r="F71" i="9" s="1"/>
  <c r="C70" i="9"/>
  <c r="D70" i="9" s="1"/>
  <c r="F70" i="9" s="1"/>
  <c r="E25" i="8"/>
  <c r="D45" i="8"/>
  <c r="E45" i="8" s="1"/>
  <c r="E29" i="9"/>
  <c r="F29" i="9" s="1"/>
  <c r="D49" i="9"/>
  <c r="E49" i="9" s="1"/>
  <c r="F49" i="9" s="1"/>
  <c r="E35" i="7"/>
  <c r="F35" i="7" s="1"/>
  <c r="D55" i="7"/>
  <c r="E55" i="7" s="1"/>
  <c r="F55" i="7" s="1"/>
  <c r="D25" i="9"/>
  <c r="D26" i="9"/>
  <c r="D27" i="9"/>
  <c r="B13" i="9"/>
  <c r="H84" i="8"/>
  <c r="I84" i="8" s="1"/>
  <c r="H85" i="8"/>
  <c r="I85" i="8" s="1"/>
  <c r="D48" i="9"/>
  <c r="E48" i="9" s="1"/>
  <c r="F48" i="9" s="1"/>
  <c r="E28" i="9"/>
  <c r="F28" i="9" s="1"/>
  <c r="C71" i="8"/>
  <c r="D71" i="8" s="1"/>
  <c r="F71" i="8" s="1"/>
  <c r="C73" i="8"/>
  <c r="D73" i="8" s="1"/>
  <c r="F73" i="8" s="1"/>
  <c r="C70" i="8"/>
  <c r="D70" i="8" s="1"/>
  <c r="F70" i="8" s="1"/>
  <c r="C72" i="8"/>
  <c r="D72" i="8" s="1"/>
  <c r="F72" i="8" s="1"/>
  <c r="H84" i="9"/>
  <c r="I84" i="9" s="1"/>
  <c r="H85" i="9"/>
  <c r="I85" i="9" s="1"/>
  <c r="F69" i="8"/>
  <c r="D46" i="8"/>
  <c r="E46" i="8" s="1"/>
  <c r="F46" i="8" s="1"/>
  <c r="E26" i="8"/>
  <c r="F26" i="8" s="1"/>
  <c r="D48" i="7"/>
  <c r="E48" i="7" s="1"/>
  <c r="F48" i="7" s="1"/>
  <c r="E28" i="7"/>
  <c r="F28" i="7" s="1"/>
  <c r="E35" i="9"/>
  <c r="F35" i="9" s="1"/>
  <c r="D55" i="9"/>
  <c r="E55" i="9" s="1"/>
  <c r="F55" i="9" s="1"/>
  <c r="E28" i="8"/>
  <c r="F28" i="8" s="1"/>
  <c r="D48" i="8"/>
  <c r="E48" i="8" s="1"/>
  <c r="F48" i="8" s="1"/>
  <c r="E34" i="9"/>
  <c r="F34" i="9" s="1"/>
  <c r="D54" i="9"/>
  <c r="E54" i="9" s="1"/>
  <c r="F54" i="9" s="1"/>
  <c r="D46" i="7"/>
  <c r="E46" i="7" s="1"/>
  <c r="F46" i="7" s="1"/>
  <c r="E26" i="7"/>
  <c r="F26" i="7" s="1"/>
  <c r="D49" i="7"/>
  <c r="E49" i="7" s="1"/>
  <c r="F49" i="7" s="1"/>
  <c r="E29" i="7"/>
  <c r="F29" i="7" s="1"/>
  <c r="D55" i="8"/>
  <c r="E55" i="8" s="1"/>
  <c r="F55" i="8" s="1"/>
  <c r="E35" i="8"/>
  <c r="F35" i="8" s="1"/>
  <c r="H83" i="8"/>
  <c r="D49" i="8"/>
  <c r="E49" i="8" s="1"/>
  <c r="F49" i="8" s="1"/>
  <c r="E29" i="8"/>
  <c r="F29" i="8" s="1"/>
  <c r="H84" i="7"/>
  <c r="I84" i="7" s="1"/>
  <c r="H85" i="7"/>
  <c r="I85" i="7" s="1"/>
  <c r="H83" i="7"/>
  <c r="C79" i="9"/>
  <c r="D79" i="9" s="1"/>
  <c r="F79" i="9" s="1"/>
  <c r="C77" i="9"/>
  <c r="D77" i="9" s="1"/>
  <c r="F77" i="9" s="1"/>
  <c r="C78" i="9"/>
  <c r="D78" i="9" s="1"/>
  <c r="F78" i="9" s="1"/>
  <c r="E27" i="7"/>
  <c r="F27" i="7" s="1"/>
  <c r="D47" i="7"/>
  <c r="E47" i="7" s="1"/>
  <c r="F47" i="7" s="1"/>
  <c r="F69" i="9" l="1"/>
  <c r="F81" i="9" s="1"/>
  <c r="D81" i="9"/>
  <c r="D47" i="9"/>
  <c r="E47" i="9" s="1"/>
  <c r="F47" i="9" s="1"/>
  <c r="E27" i="9"/>
  <c r="F27" i="9" s="1"/>
  <c r="E56" i="8"/>
  <c r="F45" i="8"/>
  <c r="F56" i="8" s="1"/>
  <c r="F61" i="8" s="1"/>
  <c r="E93" i="8" s="1"/>
  <c r="F93" i="8" s="1"/>
  <c r="E26" i="9"/>
  <c r="F26" i="9" s="1"/>
  <c r="D46" i="9"/>
  <c r="E46" i="9" s="1"/>
  <c r="F46" i="9" s="1"/>
  <c r="F25" i="8"/>
  <c r="F37" i="8" s="1"/>
  <c r="E37" i="8"/>
  <c r="I83" i="8"/>
  <c r="I86" i="8" s="1"/>
  <c r="H86" i="8"/>
  <c r="F25" i="7"/>
  <c r="F37" i="7" s="1"/>
  <c r="E37" i="7"/>
  <c r="D81" i="7"/>
  <c r="D81" i="8"/>
  <c r="D45" i="9"/>
  <c r="E45" i="9" s="1"/>
  <c r="E25" i="9"/>
  <c r="F45" i="7"/>
  <c r="F56" i="7" s="1"/>
  <c r="F61" i="7" s="1"/>
  <c r="E93" i="7" s="1"/>
  <c r="F93" i="7" s="1"/>
  <c r="E56" i="7"/>
  <c r="F81" i="7"/>
  <c r="I83" i="7"/>
  <c r="I86" i="7" s="1"/>
  <c r="H86" i="7"/>
  <c r="F81" i="8"/>
  <c r="H86" i="9"/>
  <c r="I86" i="9"/>
  <c r="D84" i="7" l="1"/>
  <c r="D85" i="7"/>
  <c r="F85" i="7" s="1"/>
  <c r="D83" i="7"/>
  <c r="E91" i="7"/>
  <c r="F91" i="7" s="1"/>
  <c r="F60" i="7"/>
  <c r="F62" i="7" s="1"/>
  <c r="E92" i="7"/>
  <c r="F92" i="7" s="1"/>
  <c r="F25" i="9"/>
  <c r="F37" i="9" s="1"/>
  <c r="E37" i="9"/>
  <c r="D84" i="9"/>
  <c r="D83" i="9"/>
  <c r="D85" i="9"/>
  <c r="F85" i="9" s="1"/>
  <c r="D85" i="8"/>
  <c r="F85" i="8" s="1"/>
  <c r="D84" i="8"/>
  <c r="D83" i="8"/>
  <c r="E56" i="9"/>
  <c r="F45" i="9"/>
  <c r="F56" i="9" s="1"/>
  <c r="F61" i="9" s="1"/>
  <c r="E93" i="9" s="1"/>
  <c r="F93" i="9" s="1"/>
  <c r="E92" i="8"/>
  <c r="F92" i="8" s="1"/>
  <c r="F60" i="8"/>
  <c r="F62" i="8" s="1"/>
  <c r="E91" i="8"/>
  <c r="F91" i="8" s="1"/>
  <c r="E92" i="9" l="1"/>
  <c r="F92" i="9" s="1"/>
  <c r="E91" i="9"/>
  <c r="F91" i="9" s="1"/>
  <c r="F60" i="9"/>
  <c r="F62" i="9" s="1"/>
  <c r="F94" i="7"/>
  <c r="M94" i="7" s="1"/>
  <c r="I52" i="7"/>
  <c r="F95" i="7"/>
  <c r="F96" i="7" s="1"/>
  <c r="L47" i="7"/>
  <c r="I47" i="7"/>
  <c r="I46" i="7"/>
  <c r="I48" i="7"/>
  <c r="I54" i="7"/>
  <c r="I53" i="7"/>
  <c r="F83" i="7"/>
  <c r="D86" i="7"/>
  <c r="E84" i="8"/>
  <c r="E86" i="8" s="1"/>
  <c r="D86" i="9"/>
  <c r="F83" i="9"/>
  <c r="D86" i="8"/>
  <c r="F83" i="8"/>
  <c r="F94" i="8"/>
  <c r="M94" i="8" s="1"/>
  <c r="F95" i="8"/>
  <c r="F96" i="8" s="1"/>
  <c r="I53" i="8"/>
  <c r="I46" i="8"/>
  <c r="I49" i="8" s="1"/>
  <c r="L47" i="8"/>
  <c r="I48" i="8"/>
  <c r="I52" i="8"/>
  <c r="I54" i="8"/>
  <c r="I47" i="8"/>
  <c r="E84" i="9"/>
  <c r="E86" i="9" s="1"/>
  <c r="F84" i="7"/>
  <c r="F97" i="7" s="1"/>
  <c r="E84" i="7"/>
  <c r="E86" i="7" s="1"/>
  <c r="F84" i="8" l="1"/>
  <c r="F97" i="8" s="1"/>
  <c r="F86" i="7"/>
  <c r="K86" i="7"/>
  <c r="M97" i="7" s="1"/>
  <c r="I55" i="7"/>
  <c r="K86" i="8"/>
  <c r="M97" i="8" s="1"/>
  <c r="F86" i="8"/>
  <c r="I55" i="8"/>
  <c r="I56" i="8" s="1"/>
  <c r="L47" i="9"/>
  <c r="I54" i="9"/>
  <c r="I47" i="9"/>
  <c r="F95" i="9"/>
  <c r="F96" i="9" s="1"/>
  <c r="F94" i="9"/>
  <c r="M94" i="9" s="1"/>
  <c r="I48" i="9"/>
  <c r="I52" i="9"/>
  <c r="I46" i="9"/>
  <c r="I49" i="9" s="1"/>
  <c r="I53" i="9"/>
  <c r="K86" i="9"/>
  <c r="M97" i="9" s="1"/>
  <c r="F84" i="9"/>
  <c r="F97" i="9" s="1"/>
  <c r="I49" i="7"/>
  <c r="I56" i="7" s="1"/>
  <c r="I55" i="9" l="1"/>
  <c r="I56" i="9" s="1"/>
  <c r="F86" i="9"/>
  <c r="L7" i="5" l="1"/>
  <c r="J3" i="4"/>
  <c r="M3" i="5"/>
  <c r="I2" i="5"/>
  <c r="M6" i="5"/>
  <c r="M7" i="5"/>
  <c r="J5" i="5"/>
  <c r="I3" i="4"/>
  <c r="I4" i="5"/>
  <c r="L5" i="5"/>
  <c r="L8" i="5"/>
  <c r="L2" i="5"/>
  <c r="I4" i="4"/>
  <c r="L3" i="5"/>
  <c r="M5" i="5"/>
  <c r="J2" i="5"/>
  <c r="J4" i="4"/>
  <c r="J1" i="4"/>
  <c r="J4" i="5"/>
  <c r="I3" i="5"/>
  <c r="K2" i="5"/>
  <c r="I2" i="4"/>
  <c r="L6" i="5"/>
  <c r="J3" i="5"/>
  <c r="I5" i="5"/>
  <c r="M4" i="5"/>
  <c r="C1" i="6"/>
  <c r="G1" i="5"/>
  <c r="L4" i="5"/>
  <c r="M8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6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7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nelj</author>
  </authors>
  <commentList>
    <comment ref="C45" authorId="0" shapeId="0" xr:uid="{00000000-0006-0000-0800-000001000000}">
      <text>
        <r>
          <rPr>
            <sz val="11"/>
            <color indexed="8"/>
            <rFont val="Helvetica Neue"/>
          </rPr>
          <t>nelj:
Ave depth calculated so that the volume correlates with the calculated CAD volume.</t>
        </r>
      </text>
    </comment>
  </commentList>
</comments>
</file>

<file path=xl/sharedStrings.xml><?xml version="1.0" encoding="utf-8"?>
<sst xmlns="http://schemas.openxmlformats.org/spreadsheetml/2006/main" count="1735" uniqueCount="384">
  <si>
    <t>Numbers Sheet Name</t>
  </si>
  <si>
    <t>Numbers Table Name</t>
  </si>
  <si>
    <t>Excel Worksheet Name</t>
  </si>
  <si>
    <t>Table 1</t>
  </si>
  <si>
    <t xml:space="preserve">WATER RETICULATION FOR WITRIVIER VILLAGE </t>
  </si>
  <si>
    <t>Annex Cover XXX Village</t>
  </si>
  <si>
    <r>
      <rPr>
        <u/>
        <sz val="12"/>
        <color indexed="11"/>
        <rFont val="Arial"/>
        <family val="2"/>
      </rPr>
      <t>Annex Cover XXX Village</t>
    </r>
  </si>
  <si>
    <t>Sched1 P&amp;G</t>
  </si>
  <si>
    <t>Sched2 Site Clearance</t>
  </si>
  <si>
    <t>Sched3 Wat Earthworks</t>
  </si>
  <si>
    <t>Sched4 Wat Pipeworks</t>
  </si>
  <si>
    <t>Summary</t>
  </si>
  <si>
    <t>Flexible  (2)</t>
  </si>
  <si>
    <t>Flexible Bulk Steel</t>
  </si>
  <si>
    <t xml:space="preserve">Flexible </t>
  </si>
  <si>
    <t>PRELIMINARY &amp; GENERAL</t>
  </si>
  <si>
    <t xml:space="preserve"> TOTAL CARRIED FORWARD TO SUMMARY</t>
  </si>
  <si>
    <t>Payment</t>
  </si>
  <si>
    <t>Rate</t>
  </si>
  <si>
    <t>Amount</t>
  </si>
  <si>
    <t>Item</t>
  </si>
  <si>
    <t>Reference</t>
  </si>
  <si>
    <t>Description</t>
  </si>
  <si>
    <t>Unit</t>
  </si>
  <si>
    <t>Qty</t>
  </si>
  <si>
    <t>(R)</t>
  </si>
  <si>
    <t>SANS</t>
  </si>
  <si>
    <t xml:space="preserve">SCHEDULE  1: </t>
  </si>
  <si>
    <t>2001A</t>
  </si>
  <si>
    <t xml:space="preserve"> </t>
  </si>
  <si>
    <t>FIXED-CHARGE ITEMS</t>
  </si>
  <si>
    <t>1.1.1</t>
  </si>
  <si>
    <t>8.3.1</t>
  </si>
  <si>
    <t>1. Contractual requirements</t>
  </si>
  <si>
    <t>Sum</t>
  </si>
  <si>
    <t>8.3.2</t>
  </si>
  <si>
    <t>2. Establishment of facilities on the site:</t>
  </si>
  <si>
    <t>1.1.2</t>
  </si>
  <si>
    <t>PSA 8.3.2.2</t>
  </si>
  <si>
    <t>1) Facilities for the Engineer</t>
  </si>
  <si>
    <t xml:space="preserve">a. Name Boards </t>
  </si>
  <si>
    <t>No</t>
  </si>
  <si>
    <t>b. Furnished Office(No.2)</t>
  </si>
  <si>
    <t>c. Latrine facilities</t>
  </si>
  <si>
    <t>d. Covered carport</t>
  </si>
  <si>
    <t>e. Survey instruments(1 no)</t>
  </si>
  <si>
    <t>2) Facilities for the Contractor</t>
  </si>
  <si>
    <t>a. Offices and storage sheds</t>
  </si>
  <si>
    <t>b. Workshops</t>
  </si>
  <si>
    <t>c. Ablution and latrine facilities</t>
  </si>
  <si>
    <t>d. Tools and equipment</t>
  </si>
  <si>
    <t xml:space="preserve">e. Water supplies and electric power </t>
  </si>
  <si>
    <t xml:space="preserve">      and communications</t>
  </si>
  <si>
    <t>f. Security of works</t>
  </si>
  <si>
    <t>Rate Only</t>
  </si>
  <si>
    <t>1.1.3</t>
  </si>
  <si>
    <t>8.3.3</t>
  </si>
  <si>
    <t>Other fixed-charge obligations</t>
  </si>
  <si>
    <t>1.1.4</t>
  </si>
  <si>
    <t>8.3.4</t>
  </si>
  <si>
    <t>Removal of site establishment</t>
  </si>
  <si>
    <t>1.1.5</t>
  </si>
  <si>
    <t>Locating existing services</t>
  </si>
  <si>
    <t>PC Sum</t>
  </si>
  <si>
    <t>1.1.6</t>
  </si>
  <si>
    <t>Provision for reinstating of existing fences</t>
  </si>
  <si>
    <t>TOTAL CARRIED FORWARD</t>
  </si>
  <si>
    <t>BROUGHT FORWARD</t>
  </si>
  <si>
    <t>TIME-RELATED ITEMS</t>
  </si>
  <si>
    <t>1.2.1</t>
  </si>
  <si>
    <t>8.4.2</t>
  </si>
  <si>
    <t xml:space="preserve">Operation and maintenance of facilities on </t>
  </si>
  <si>
    <t>site for the duration of construction</t>
  </si>
  <si>
    <t>1.2.1.1</t>
  </si>
  <si>
    <t>8.4.2.2</t>
  </si>
  <si>
    <t xml:space="preserve">2) Facilities for Contractor for construction </t>
  </si>
  <si>
    <t xml:space="preserve">    duration, except where otherwise stated</t>
  </si>
  <si>
    <t>Month</t>
  </si>
  <si>
    <t>1.2.2</t>
  </si>
  <si>
    <t>8.4.3</t>
  </si>
  <si>
    <t xml:space="preserve">Supervision for the duration of construction </t>
  </si>
  <si>
    <t>1.2.3</t>
  </si>
  <si>
    <t>8.4.4</t>
  </si>
  <si>
    <t xml:space="preserve">Company and head office overhead costs for </t>
  </si>
  <si>
    <t>the duration of the Contract</t>
  </si>
  <si>
    <t>1.2.6</t>
  </si>
  <si>
    <t>PS7</t>
  </si>
  <si>
    <t xml:space="preserve">Allow for compliance with all aspects of the </t>
  </si>
  <si>
    <t xml:space="preserve">OH&amp;S Spec including: </t>
  </si>
  <si>
    <t>risk assessment; provision of the safety plan; appointment of</t>
  </si>
  <si>
    <t>safety officer; safety training (induction) of workforce and</t>
  </si>
  <si>
    <t>notification(s) to the Department of Labour</t>
  </si>
  <si>
    <t>1.2.7</t>
  </si>
  <si>
    <t>PS8</t>
  </si>
  <si>
    <t>Environment Management Plan</t>
  </si>
  <si>
    <t>PS 12</t>
  </si>
  <si>
    <t>2) Training of Workers</t>
  </si>
  <si>
    <t>a. Training allowance paid to targeted labour in</t>
  </si>
  <si>
    <t xml:space="preserve">    terms of formal training</t>
  </si>
  <si>
    <t>b. Overheads, charges and profit on (a) above</t>
  </si>
  <si>
    <t>%</t>
  </si>
  <si>
    <t xml:space="preserve">c. Transportation and communication of workers for </t>
  </si>
  <si>
    <t xml:space="preserve">    training where it is not possible to undertake the  </t>
  </si>
  <si>
    <t xml:space="preserve">    training in close proximity to the site</t>
  </si>
  <si>
    <t>d. Overheads, charges and profit on (c) above</t>
  </si>
  <si>
    <t>3) Relocation of services</t>
  </si>
  <si>
    <t xml:space="preserve">a. Relocation of essential services to be done by </t>
  </si>
  <si>
    <t xml:space="preserve">    administering authority if required</t>
  </si>
  <si>
    <t>4) Community Liaison Officer</t>
  </si>
  <si>
    <t>a. Allow for work done by community liaison</t>
  </si>
  <si>
    <t xml:space="preserve">    officer</t>
  </si>
  <si>
    <t>DAY WORKS</t>
  </si>
  <si>
    <r>
      <rPr>
        <b/>
        <u/>
        <sz val="10"/>
        <color indexed="8"/>
        <rFont val="Arial"/>
        <family val="2"/>
      </rPr>
      <t>Note:</t>
    </r>
    <r>
      <rPr>
        <sz val="10"/>
        <color indexed="8"/>
        <rFont val="Arial"/>
        <family val="2"/>
      </rPr>
      <t xml:space="preserve"> To be executed on instruction of the Engineer only</t>
    </r>
  </si>
  <si>
    <t xml:space="preserve">            </t>
  </si>
  <si>
    <t>1. Labour</t>
  </si>
  <si>
    <t>a. Skilled</t>
  </si>
  <si>
    <t>hr</t>
  </si>
  <si>
    <t>b. Semi-skilled</t>
  </si>
  <si>
    <t>c. Unskilled</t>
  </si>
  <si>
    <t>d. Armed guard</t>
  </si>
  <si>
    <t>Man-days</t>
  </si>
  <si>
    <t>2. Plant Hire (Work rates on site)</t>
  </si>
  <si>
    <t>Tipper trucks</t>
  </si>
  <si>
    <t>a. Capacity 6 m3 (small)</t>
  </si>
  <si>
    <t>b. Capacity 10m3 (medium)</t>
  </si>
  <si>
    <t>c. Capacity 12m3 (large)</t>
  </si>
  <si>
    <t>Flat bed trucks</t>
  </si>
  <si>
    <t>d. Capacity 3 tonne (small)</t>
  </si>
  <si>
    <t>e. Capacity 5 tonne (medium)</t>
  </si>
  <si>
    <t>f. Capacity 10 tonne (large)</t>
  </si>
  <si>
    <t>3. LDVs</t>
  </si>
  <si>
    <t xml:space="preserve">a. Capacity 1 tonne </t>
  </si>
  <si>
    <t>km</t>
  </si>
  <si>
    <t>4. Water tankers</t>
  </si>
  <si>
    <t>a. Capacity 6 000 litres (small)</t>
  </si>
  <si>
    <t>b. Capacity 9 000 litres (medium)</t>
  </si>
  <si>
    <t>c. Capacity 15 000 litres (large)</t>
  </si>
  <si>
    <t>5. Excavators</t>
  </si>
  <si>
    <t>Crawler excavators</t>
  </si>
  <si>
    <t>a. 20 tonne</t>
  </si>
  <si>
    <t>b. 30 tonne</t>
  </si>
  <si>
    <t>6. TLBs</t>
  </si>
  <si>
    <t>Tractor Loader Backhoe</t>
  </si>
  <si>
    <t>a. 2 x 4</t>
  </si>
  <si>
    <t>b. 4 x 4</t>
  </si>
  <si>
    <t>7. Rollers</t>
  </si>
  <si>
    <t>Walk behind vibrating rollers</t>
  </si>
  <si>
    <t>a. Model BW 61 (small)</t>
  </si>
  <si>
    <t>b. Model BW 76 (medium)</t>
  </si>
  <si>
    <t>c. Model BW 90 (large)</t>
  </si>
  <si>
    <t>8. Compactors</t>
  </si>
  <si>
    <t>9. Compressors</t>
  </si>
  <si>
    <t>Portable diesel compressors</t>
  </si>
  <si>
    <t>a. Small</t>
  </si>
  <si>
    <t>b. Medium</t>
  </si>
  <si>
    <t>c. Large</t>
  </si>
  <si>
    <t>10. Water pumps</t>
  </si>
  <si>
    <t>Portable water pumps</t>
  </si>
  <si>
    <t>Volume 1                                 Pricing Data</t>
  </si>
  <si>
    <t>A</t>
  </si>
  <si>
    <t>B</t>
  </si>
  <si>
    <t>Trench Width (m)</t>
  </si>
  <si>
    <t>erf conn width</t>
  </si>
  <si>
    <t>C</t>
  </si>
  <si>
    <t>Trench length (m)</t>
  </si>
  <si>
    <t>erf conn length</t>
  </si>
  <si>
    <t>SITE CLEARANCE</t>
  </si>
  <si>
    <t>D</t>
  </si>
  <si>
    <t>reinstatement width</t>
  </si>
  <si>
    <t>reinstate width</t>
  </si>
  <si>
    <t>E</t>
  </si>
  <si>
    <t>depth</t>
  </si>
  <si>
    <t>F</t>
  </si>
  <si>
    <t>G</t>
  </si>
  <si>
    <t>H</t>
  </si>
  <si>
    <t>SCHEDULE 2:</t>
  </si>
  <si>
    <t>PSC 2001 C</t>
  </si>
  <si>
    <t>8.2.1</t>
  </si>
  <si>
    <t>Clear and grub 1.0m wide street strip for pipe in road reserve.</t>
  </si>
  <si>
    <t>m</t>
  </si>
  <si>
    <t>8.2.2</t>
  </si>
  <si>
    <t>Remove and grub large trees, and tree stumps of girth:</t>
  </si>
  <si>
    <t>a. Over 1m and up to and including 2m</t>
  </si>
  <si>
    <t>b. Over 2m and up to and including 3m</t>
  </si>
  <si>
    <t>WATER SUPPLY - EARTHWORKS</t>
  </si>
  <si>
    <t>granular depth</t>
  </si>
  <si>
    <t>fill depth</t>
  </si>
  <si>
    <t xml:space="preserve"> ( R )</t>
  </si>
  <si>
    <t>number of stands</t>
  </si>
  <si>
    <t>confirm</t>
  </si>
  <si>
    <t>SCHEDULE 3:</t>
  </si>
  <si>
    <t>2001DB</t>
  </si>
  <si>
    <t>EXCAVATIONS</t>
  </si>
  <si>
    <t>PSDB 8.3.2</t>
  </si>
  <si>
    <t>Excavate in all materials for trenches, backfill, compact and dispose of surplus material</t>
  </si>
  <si>
    <t>for trenches, and dispose of excess material</t>
  </si>
  <si>
    <t>a) For base width up to 1000mm,</t>
  </si>
  <si>
    <t>Excavation depth over and up to:</t>
  </si>
  <si>
    <t>1) 0.0 m to 1.5 m</t>
  </si>
  <si>
    <t xml:space="preserve">2) 1.5 m to 2 m </t>
  </si>
  <si>
    <t>Extra-over items 3.1 for</t>
  </si>
  <si>
    <t>1. Intermediate excavation</t>
  </si>
  <si>
    <t>m³</t>
  </si>
  <si>
    <t>2. Hard rock excavation</t>
  </si>
  <si>
    <t xml:space="preserve">Excavate and dispose of unsuitable material from </t>
  </si>
  <si>
    <t>trench bottom (Provisional)</t>
  </si>
  <si>
    <t>EXCAVATION ANCILLARIES</t>
  </si>
  <si>
    <t>8.3.3.3</t>
  </si>
  <si>
    <t>Compaction in road reserves</t>
  </si>
  <si>
    <t>8.3.5</t>
  </si>
  <si>
    <t>Existing services that intersect or adjoin a pipe trench</t>
  </si>
  <si>
    <t>a. Services that intersect a trench</t>
  </si>
  <si>
    <t>No.</t>
  </si>
  <si>
    <t>b. Services that adjoin a trench</t>
  </si>
  <si>
    <t>SANS 2001LB</t>
  </si>
  <si>
    <t>BEDDING</t>
  </si>
  <si>
    <t>Provision of bedding from trench</t>
  </si>
  <si>
    <t>excavation</t>
  </si>
  <si>
    <t>a. Selected granular</t>
  </si>
  <si>
    <t>b. Selected fill</t>
  </si>
  <si>
    <t>Provision of bedding from commercial source</t>
  </si>
  <si>
    <t xml:space="preserve"> 8.2.4</t>
  </si>
  <si>
    <t>Encasing of pipes in concrete (20MPa)</t>
  </si>
  <si>
    <t>L</t>
  </si>
  <si>
    <t>SCHEDULE 4:</t>
  </si>
  <si>
    <t>WATER SUPPLY - PIPEWORKS</t>
  </si>
  <si>
    <t>2001L</t>
  </si>
  <si>
    <t xml:space="preserve">PIPES </t>
  </si>
  <si>
    <t>4.1.1</t>
  </si>
  <si>
    <t>8.2.1a</t>
  </si>
  <si>
    <t>Supply, handle, lay, bed in flexible pipe bedding and test</t>
  </si>
  <si>
    <t xml:space="preserve"> uPVC class 9 pipes complete with spigot and socket joints to SABS 16422.</t>
  </si>
  <si>
    <t>per 6m L</t>
  </si>
  <si>
    <t>per m L</t>
  </si>
  <si>
    <t>Total(+25%)</t>
  </si>
  <si>
    <t>1.  63 mm diameter</t>
  </si>
  <si>
    <t>2.  75 mm diameter</t>
  </si>
  <si>
    <t>3.  90 mm diameter</t>
  </si>
  <si>
    <t>4.  110 mm diameter</t>
  </si>
  <si>
    <t>SPECIALS AND FITTINGS</t>
  </si>
  <si>
    <t>Extra-over item 4.1 for supplying, handling, laying,</t>
  </si>
  <si>
    <t>bedding, jointing and testing of the following fittings</t>
  </si>
  <si>
    <t>4.2.1</t>
  </si>
  <si>
    <t>Bends</t>
  </si>
  <si>
    <t>11.25 degree bends</t>
  </si>
  <si>
    <t>total(+25%)</t>
  </si>
  <si>
    <t>22.5 degree bends</t>
  </si>
  <si>
    <t>45 degree bends</t>
  </si>
  <si>
    <t xml:space="preserve"> TOTAL CARRIED FORWARD</t>
  </si>
  <si>
    <t xml:space="preserve"> BROUGHT FORWARD</t>
  </si>
  <si>
    <t>90 degree bends</t>
  </si>
  <si>
    <t>4.2.2</t>
  </si>
  <si>
    <t>Cast Iron Tees</t>
  </si>
  <si>
    <t>1.  75 X 63 mm diameter</t>
  </si>
  <si>
    <t>2.  90 X 63 mm diameter</t>
  </si>
  <si>
    <t>3.  110 X 63 mm diameter</t>
  </si>
  <si>
    <t>4.  110 X 75 mm diameter</t>
  </si>
  <si>
    <t>5.  110 X 90 mm diameter</t>
  </si>
  <si>
    <t>4.2.3</t>
  </si>
  <si>
    <t>Cast Iron Equal Tees</t>
  </si>
  <si>
    <t>4.2.4</t>
  </si>
  <si>
    <t>Flange adaptors</t>
  </si>
  <si>
    <t>4.2.5</t>
  </si>
  <si>
    <t>Reducers</t>
  </si>
  <si>
    <t>3.  90 X 75 mm diameter</t>
  </si>
  <si>
    <t>4.  110 X 63 mm diameter</t>
  </si>
  <si>
    <t>5.  110 X 75 mm diameter</t>
  </si>
  <si>
    <t>6.  110 X 90 mm diameter</t>
  </si>
  <si>
    <t>4.2.6</t>
  </si>
  <si>
    <t>Cast Iron End Caps</t>
  </si>
  <si>
    <t>PSL3.10</t>
  </si>
  <si>
    <t>Isolating valves</t>
  </si>
  <si>
    <t>PSL 3.10.2</t>
  </si>
  <si>
    <t xml:space="preserve">Extra-over item 4.1 for the supplying, installing cutting in and testing flanged Class 12 clockwise closing non rising spindle resilient seal gate valves , as per drawing. </t>
  </si>
  <si>
    <t>Water Meter</t>
  </si>
  <si>
    <t xml:space="preserve">Kent Helix H4000 woltmann-type flanged water meter </t>
  </si>
  <si>
    <t>or similar approved as per drawing ,  for pipe diameters:</t>
  </si>
  <si>
    <t>PSL5.6</t>
  </si>
  <si>
    <t>CHAMBERS</t>
  </si>
  <si>
    <t>Construct valve chambers complete with step irons,</t>
  </si>
  <si>
    <t xml:space="preserve"> cover and frames, as per drawing</t>
  </si>
  <si>
    <t>4. Backfill chambers using selected fill</t>
  </si>
  <si>
    <t>SUNDRIES</t>
  </si>
  <si>
    <t>4.6.1</t>
  </si>
  <si>
    <t>8.2.11</t>
  </si>
  <si>
    <t>Thrust blocks and pedastals class 25/19 concrete, as per</t>
  </si>
  <si>
    <t>drawing</t>
  </si>
  <si>
    <t>Pipe Markers</t>
  </si>
  <si>
    <t xml:space="preserve">Supply and install precast concrete pipeline markers, as per </t>
  </si>
  <si>
    <t>Volume 1                                        Pricing Data</t>
  </si>
  <si>
    <t>SUMMARY OF BILL OF QUANTITIES</t>
  </si>
  <si>
    <t>Lesedi La Sechaba</t>
  </si>
  <si>
    <t>Ditsala Construction</t>
  </si>
  <si>
    <t>JTI Civils</t>
  </si>
  <si>
    <t>Mr Monwabisi Mlanjna</t>
  </si>
  <si>
    <t>Beste Plasteral</t>
  </si>
  <si>
    <t>Dhungwana &amp; Sons Construction</t>
  </si>
  <si>
    <t>Letswamotse Civil Engineering</t>
  </si>
  <si>
    <t>S Sebopa / KJ Trading JV</t>
  </si>
  <si>
    <t>Talicon Construction</t>
  </si>
  <si>
    <t>Labudi Civils and Development</t>
  </si>
  <si>
    <t>Entokozweni End JV</t>
  </si>
  <si>
    <t>Homeless Building Construction</t>
  </si>
  <si>
    <t>Kurisane Building Construction</t>
  </si>
  <si>
    <t>SCHEDULE</t>
  </si>
  <si>
    <t>DESCRIPTION</t>
  </si>
  <si>
    <t>AMOUNT ( R )</t>
  </si>
  <si>
    <t>SCHEDULE 1:</t>
  </si>
  <si>
    <t>PRELIMINARY AND GENERAL</t>
  </si>
  <si>
    <t>Subtotal 2</t>
  </si>
  <si>
    <t>Contingencies (10%)</t>
  </si>
  <si>
    <t>Sub-total 3</t>
  </si>
  <si>
    <t>VAT</t>
  </si>
  <si>
    <t xml:space="preserve">TOTAL </t>
  </si>
  <si>
    <t xml:space="preserve">R </t>
  </si>
  <si>
    <t>Bedding volume calculation</t>
  </si>
  <si>
    <t xml:space="preserve"> Diameter Flexible pipe</t>
  </si>
  <si>
    <t xml:space="preserve"> Diam Flexible pipe</t>
  </si>
  <si>
    <t>Project Name</t>
  </si>
  <si>
    <t>ABC</t>
  </si>
  <si>
    <t>Project number</t>
  </si>
  <si>
    <t>0000</t>
  </si>
  <si>
    <t>Outside diam, Do =</t>
  </si>
  <si>
    <t>Inside diam, Di =</t>
  </si>
  <si>
    <t xml:space="preserve">Contingency measurement </t>
  </si>
  <si>
    <t>Granular support height, Ch =</t>
  </si>
  <si>
    <t>Granular roof height, Cr =</t>
  </si>
  <si>
    <t>Granular total height, Ct =</t>
  </si>
  <si>
    <t>Fill Blanket height, Bh =</t>
  </si>
  <si>
    <t>Width, W =</t>
  </si>
  <si>
    <t>Fill Blanket area, Ba =</t>
  </si>
  <si>
    <t>m²</t>
  </si>
  <si>
    <t>Granular area, Ca =</t>
  </si>
  <si>
    <t>Excavation Volume to Pipe Invert</t>
  </si>
  <si>
    <t>Excavation: Linear</t>
  </si>
  <si>
    <t>Pipe diameter</t>
  </si>
  <si>
    <t>Length</t>
  </si>
  <si>
    <t>Ave depth</t>
  </si>
  <si>
    <t>Width</t>
  </si>
  <si>
    <t>Volume</t>
  </si>
  <si>
    <t>Total Volume</t>
  </si>
  <si>
    <t>Linear Mesurements</t>
  </si>
  <si>
    <t>mm</t>
  </si>
  <si>
    <t>Hand excav:</t>
  </si>
  <si>
    <t>Soft (m)</t>
  </si>
  <si>
    <t>Intermediate (m)</t>
  </si>
  <si>
    <t>Hard (m)</t>
  </si>
  <si>
    <t>Machine Excav</t>
  </si>
  <si>
    <t>2-3m</t>
  </si>
  <si>
    <t>3-4m</t>
  </si>
  <si>
    <t>4-5m</t>
  </si>
  <si>
    <t>Sub-Totals</t>
  </si>
  <si>
    <t>site clearance=</t>
  </si>
  <si>
    <t xml:space="preserve">Excavation Volume of Trench Bottom </t>
  </si>
  <si>
    <t>Excavation: Volumetrics</t>
  </si>
  <si>
    <t>Volumetric Mesurements</t>
  </si>
  <si>
    <t>Mat'l Type</t>
  </si>
  <si>
    <t>Hand m³</t>
  </si>
  <si>
    <t>Soft</t>
  </si>
  <si>
    <t>Machine m³</t>
  </si>
  <si>
    <t>Total Hand &amp; Machine</t>
  </si>
  <si>
    <t>Total Trench Excavation Volume</t>
  </si>
  <si>
    <t>Total</t>
  </si>
  <si>
    <t>Provision of Granular &amp; Fill Volume</t>
  </si>
  <si>
    <t>Granular area</t>
  </si>
  <si>
    <t>Granular volume</t>
  </si>
  <si>
    <t>Pipe volume</t>
  </si>
  <si>
    <t>Total Granular Volume</t>
  </si>
  <si>
    <t>Fill area</t>
  </si>
  <si>
    <t>Fill volume</t>
  </si>
  <si>
    <t>Total Fill Volume</t>
  </si>
  <si>
    <t>From trench excavations</t>
  </si>
  <si>
    <t>From borrow pit</t>
  </si>
  <si>
    <t>Imported commercially</t>
  </si>
  <si>
    <t>Totals</t>
  </si>
  <si>
    <t>Excavation and Bedding Ancillaries</t>
  </si>
  <si>
    <t>Intermediate</t>
  </si>
  <si>
    <t>Hard rock</t>
  </si>
  <si>
    <t>% Crushed Stone or Unsuitable Material</t>
  </si>
  <si>
    <t>Total required backfill</t>
  </si>
  <si>
    <t>Total available backfill</t>
  </si>
  <si>
    <t>Backfill Deficiency</t>
  </si>
  <si>
    <t>Total Unsuitable Material</t>
  </si>
  <si>
    <t>Z:\Projects\QUALIS CONSULTANTS\PROJECTS\Mogalakwena Local Municipality\Moordkoppie Mini Water Scheme 22\BoQ\BOQ Per villages\[Bulkwater Pipeline BOQ - Rev 01.xlsx]E- Med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</si>
</sst>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* #,##0.00&quot; &quot;;&quot; &quot;* &quot;-&quot;#,##0.00&quot; &quot;;&quot; &quot;* &quot;-&quot;??&quot; &quot;"/>
    <numFmt numFmtId="165" formatCode="#,##0&quot; &quot;;&quot;-&quot;#,##0&quot; &quot;"/>
    <numFmt numFmtId="166" formatCode="&quot;R &quot;#,##0.00;&quot;R -&quot;#,##0.00"/>
    <numFmt numFmtId="167" formatCode="0.0"/>
    <numFmt numFmtId="168" formatCode="#,##0.0"/>
    <numFmt numFmtId="169" formatCode="&quot; R &quot;* #,##0.00&quot; &quot;;&quot; R &quot;* &quot;-&quot;#,##0.00&quot; &quot;;&quot; R &quot;* &quot;-&quot;??&quot; &quot;"/>
    <numFmt numFmtId="170" formatCode="0.000&quot; &quot;"/>
    <numFmt numFmtId="171" formatCode="0&quot; &quot;"/>
    <numFmt numFmtId="172" formatCode="0.00&quot; &quot;"/>
    <numFmt numFmtId="173" formatCode="#,##0.00&quot; &quot;;\(#,##0.00\)"/>
    <numFmt numFmtId="174" formatCode="#,##0&quot; &quot;;\(#,##0\)"/>
    <numFmt numFmtId="175" formatCode="0.0000"/>
  </numFmts>
  <fonts count="18">
    <font>
      <sz val="10"/>
      <color indexed="8"/>
      <name val="Arial"/>
    </font>
    <font>
      <sz val="12"/>
      <color indexed="8"/>
      <name val="Arial"/>
      <family val="2"/>
    </font>
    <font>
      <sz val="14"/>
      <color indexed="8"/>
      <name val="Arial"/>
      <family val="2"/>
    </font>
    <font>
      <u/>
      <sz val="12"/>
      <color indexed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6"/>
      <name val="Arial"/>
      <family val="2"/>
    </font>
    <font>
      <b/>
      <sz val="14"/>
      <color indexed="8"/>
      <name val="SWISS"/>
    </font>
    <font>
      <b/>
      <sz val="10"/>
      <color indexed="8"/>
      <name val="SWISS"/>
    </font>
    <font>
      <b/>
      <sz val="8"/>
      <color indexed="11"/>
      <name val="SWISS"/>
    </font>
    <font>
      <b/>
      <sz val="10"/>
      <color indexed="11"/>
      <name val="SWISS"/>
    </font>
    <font>
      <sz val="10"/>
      <color indexed="8"/>
      <name val="SWISS"/>
    </font>
    <font>
      <sz val="10"/>
      <color indexed="11"/>
      <name val="SWISS"/>
    </font>
    <font>
      <b/>
      <u/>
      <sz val="10"/>
      <color indexed="8"/>
      <name val="SWISS"/>
    </font>
    <font>
      <sz val="11"/>
      <color indexed="8"/>
      <name val="Helvetica Neue"/>
    </font>
    <font>
      <sz val="8"/>
      <color indexed="8"/>
      <name val="SWISS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116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9"/>
      </right>
      <top style="medium">
        <color indexed="8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medium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3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4" borderId="1" xfId="0" applyFont="1" applyFill="1" applyBorder="1" applyAlignment="1"/>
    <xf numFmtId="0" fontId="0" fillId="4" borderId="2" xfId="0" applyFont="1" applyFill="1" applyBorder="1" applyAlignment="1"/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49" fontId="2" fillId="4" borderId="5" xfId="0" applyNumberFormat="1" applyFont="1" applyFill="1" applyBorder="1" applyAlignment="1">
      <alignment horizontal="left"/>
    </xf>
    <xf numFmtId="49" fontId="2" fillId="4" borderId="6" xfId="0" applyNumberFormat="1" applyFont="1" applyFill="1" applyBorder="1" applyAlignment="1">
      <alignment horizontal="left"/>
    </xf>
    <xf numFmtId="49" fontId="1" fillId="5" borderId="5" xfId="0" applyNumberFormat="1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49" fontId="1" fillId="6" borderId="5" xfId="0" applyNumberFormat="1" applyFont="1" applyFill="1" applyBorder="1" applyAlignment="1">
      <alignment horizontal="left"/>
    </xf>
    <xf numFmtId="49" fontId="3" fillId="6" borderId="6" xfId="0" applyNumberFormat="1" applyFont="1" applyFill="1" applyBorder="1" applyAlignment="1">
      <alignment horizontal="left"/>
    </xf>
    <xf numFmtId="0" fontId="0" fillId="4" borderId="7" xfId="0" applyFont="1" applyFill="1" applyBorder="1" applyAlignment="1"/>
    <xf numFmtId="0" fontId="0" fillId="0" borderId="0" xfId="0" applyNumberFormat="1" applyFont="1" applyAlignment="1"/>
    <xf numFmtId="0" fontId="0" fillId="4" borderId="8" xfId="0" applyFont="1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/>
    </xf>
    <xf numFmtId="164" fontId="0" fillId="4" borderId="8" xfId="0" applyNumberFormat="1" applyFont="1" applyFill="1" applyBorder="1" applyAlignment="1"/>
    <xf numFmtId="164" fontId="0" fillId="4" borderId="8" xfId="0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right"/>
    </xf>
    <xf numFmtId="0" fontId="0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49" fontId="0" fillId="4" borderId="14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49" fontId="0" fillId="4" borderId="15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0" fontId="0" fillId="4" borderId="14" xfId="0" applyFont="1" applyFill="1" applyBorder="1" applyAlignment="1"/>
    <xf numFmtId="0" fontId="0" fillId="4" borderId="16" xfId="0" applyFont="1" applyFill="1" applyBorder="1" applyAlignment="1">
      <alignment horizontal="center"/>
    </xf>
    <xf numFmtId="49" fontId="0" fillId="4" borderId="16" xfId="0" applyNumberFormat="1" applyFont="1" applyFill="1" applyBorder="1" applyAlignment="1">
      <alignment horizontal="center"/>
    </xf>
    <xf numFmtId="49" fontId="5" fillId="4" borderId="16" xfId="0" applyNumberFormat="1" applyFont="1" applyFill="1" applyBorder="1" applyAlignment="1"/>
    <xf numFmtId="0" fontId="0" fillId="4" borderId="16" xfId="0" applyFont="1" applyFill="1" applyBorder="1" applyAlignment="1"/>
    <xf numFmtId="0" fontId="0" fillId="4" borderId="16" xfId="0" applyNumberFormat="1" applyFont="1" applyFill="1" applyBorder="1" applyAlignment="1">
      <alignment horizontal="center"/>
    </xf>
    <xf numFmtId="49" fontId="0" fillId="4" borderId="16" xfId="0" applyNumberFormat="1" applyFont="1" applyFill="1" applyBorder="1" applyAlignment="1"/>
    <xf numFmtId="4" fontId="0" fillId="4" borderId="16" xfId="0" applyNumberFormat="1" applyFont="1" applyFill="1" applyBorder="1" applyAlignment="1">
      <alignment horizontal="right"/>
    </xf>
    <xf numFmtId="0" fontId="0" fillId="4" borderId="16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vertical="center"/>
    </xf>
    <xf numFmtId="2" fontId="0" fillId="4" borderId="16" xfId="0" applyNumberFormat="1" applyFont="1" applyFill="1" applyBorder="1" applyAlignment="1"/>
    <xf numFmtId="49" fontId="0" fillId="4" borderId="16" xfId="0" applyNumberFormat="1" applyFont="1" applyFill="1" applyBorder="1" applyAlignment="1">
      <alignment horizontal="center" wrapText="1"/>
    </xf>
    <xf numFmtId="49" fontId="0" fillId="4" borderId="16" xfId="0" applyNumberFormat="1" applyFont="1" applyFill="1" applyBorder="1" applyAlignment="1">
      <alignment horizontal="right"/>
    </xf>
    <xf numFmtId="49" fontId="0" fillId="4" borderId="16" xfId="0" applyNumberFormat="1" applyFont="1" applyFill="1" applyBorder="1" applyAlignment="1">
      <alignment vertical="center"/>
    </xf>
    <xf numFmtId="49" fontId="0" fillId="4" borderId="16" xfId="0" applyNumberFormat="1" applyFont="1" applyFill="1" applyBorder="1" applyAlignment="1">
      <alignment horizontal="center" vertical="center"/>
    </xf>
    <xf numFmtId="49" fontId="0" fillId="4" borderId="16" xfId="0" applyNumberFormat="1" applyFont="1" applyFill="1" applyBorder="1" applyAlignment="1">
      <alignment horizontal="justify"/>
    </xf>
    <xf numFmtId="49" fontId="0" fillId="4" borderId="16" xfId="0" applyNumberFormat="1" applyFont="1" applyFill="1" applyBorder="1" applyAlignment="1">
      <alignment horizontal="left" vertical="center" wrapText="1"/>
    </xf>
    <xf numFmtId="4" fontId="0" fillId="4" borderId="16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 applyAlignment="1">
      <alignment horizontal="right" vertical="center"/>
    </xf>
    <xf numFmtId="0" fontId="0" fillId="4" borderId="15" xfId="0" applyFont="1" applyFill="1" applyBorder="1" applyAlignment="1">
      <alignment horizontal="center"/>
    </xf>
    <xf numFmtId="0" fontId="0" fillId="4" borderId="15" xfId="0" applyFont="1" applyFill="1" applyBorder="1" applyAlignment="1"/>
    <xf numFmtId="49" fontId="5" fillId="4" borderId="10" xfId="0" applyNumberFormat="1" applyFont="1" applyFill="1" applyBorder="1" applyAlignment="1">
      <alignment horizontal="left" vertical="center"/>
    </xf>
    <xf numFmtId="4" fontId="5" fillId="4" borderId="11" xfId="0" applyNumberFormat="1" applyFont="1" applyFill="1" applyBorder="1" applyAlignment="1">
      <alignment horizontal="left" vertical="center"/>
    </xf>
    <xf numFmtId="4" fontId="5" fillId="4" borderId="12" xfId="0" applyNumberFormat="1" applyFont="1" applyFill="1" applyBorder="1" applyAlignment="1">
      <alignment horizontal="left" vertical="center"/>
    </xf>
    <xf numFmtId="164" fontId="0" fillId="4" borderId="17" xfId="0" applyNumberFormat="1" applyFont="1" applyFill="1" applyBorder="1" applyAlignment="1">
      <alignment horizontal="right"/>
    </xf>
    <xf numFmtId="4" fontId="0" fillId="4" borderId="17" xfId="0" applyNumberFormat="1" applyFont="1" applyFill="1" applyBorder="1" applyAlignment="1">
      <alignment horizontal="right" vertical="center"/>
    </xf>
    <xf numFmtId="0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0" fontId="0" fillId="4" borderId="1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/>
    </xf>
    <xf numFmtId="164" fontId="0" fillId="4" borderId="17" xfId="0" applyNumberFormat="1" applyFont="1" applyFill="1" applyBorder="1" applyAlignment="1">
      <alignment horizontal="right" vertical="center"/>
    </xf>
    <xf numFmtId="4" fontId="0" fillId="4" borderId="16" xfId="0" applyNumberFormat="1" applyFont="1" applyFill="1" applyBorder="1" applyAlignment="1"/>
    <xf numFmtId="165" fontId="0" fillId="4" borderId="16" xfId="0" applyNumberFormat="1" applyFont="1" applyFill="1" applyBorder="1" applyAlignment="1">
      <alignment horizontal="center"/>
    </xf>
    <xf numFmtId="9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>
      <alignment horizontal="center"/>
    </xf>
    <xf numFmtId="2" fontId="0" fillId="4" borderId="14" xfId="0" applyNumberFormat="1" applyFont="1" applyFill="1" applyBorder="1" applyAlignment="1">
      <alignment horizontal="center"/>
    </xf>
    <xf numFmtId="2" fontId="0" fillId="4" borderId="14" xfId="0" applyNumberFormat="1" applyFont="1" applyFill="1" applyBorder="1" applyAlignment="1"/>
    <xf numFmtId="2" fontId="0" fillId="4" borderId="16" xfId="0" applyNumberFormat="1" applyFont="1" applyFill="1" applyBorder="1" applyAlignment="1">
      <alignment horizontal="center"/>
    </xf>
    <xf numFmtId="3" fontId="0" fillId="4" borderId="16" xfId="0" applyNumberFormat="1" applyFont="1" applyFill="1" applyBorder="1" applyAlignment="1"/>
    <xf numFmtId="2" fontId="0" fillId="4" borderId="15" xfId="0" applyNumberFormat="1" applyFont="1" applyFill="1" applyBorder="1" applyAlignment="1">
      <alignment horizontal="center"/>
    </xf>
    <xf numFmtId="2" fontId="0" fillId="4" borderId="15" xfId="0" applyNumberFormat="1" applyFont="1" applyFill="1" applyBorder="1" applyAlignment="1"/>
    <xf numFmtId="49" fontId="6" fillId="4" borderId="16" xfId="0" applyNumberFormat="1" applyFont="1" applyFill="1" applyBorder="1" applyAlignment="1"/>
    <xf numFmtId="49" fontId="0" fillId="4" borderId="17" xfId="0" applyNumberFormat="1" applyFont="1" applyFill="1" applyBorder="1" applyAlignment="1"/>
    <xf numFmtId="4" fontId="5" fillId="4" borderId="10" xfId="0" applyNumberFormat="1" applyFont="1" applyFill="1" applyBorder="1" applyAlignment="1">
      <alignment horizontal="left" vertical="center"/>
    </xf>
    <xf numFmtId="49" fontId="0" fillId="4" borderId="14" xfId="0" applyNumberFormat="1" applyFont="1" applyFill="1" applyBorder="1" applyAlignment="1">
      <alignment horizontal="center"/>
    </xf>
    <xf numFmtId="49" fontId="0" fillId="4" borderId="14" xfId="0" applyNumberFormat="1" applyFont="1" applyFill="1" applyBorder="1" applyAlignment="1"/>
    <xf numFmtId="166" fontId="0" fillId="4" borderId="16" xfId="0" applyNumberFormat="1" applyFont="1" applyFill="1" applyBorder="1" applyAlignment="1"/>
    <xf numFmtId="0" fontId="5" fillId="4" borderId="16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4" fontId="0" fillId="4" borderId="15" xfId="0" applyNumberFormat="1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164" fontId="0" fillId="4" borderId="17" xfId="0" applyNumberFormat="1" applyFont="1" applyFill="1" applyBorder="1" applyAlignment="1"/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164" fontId="0" fillId="4" borderId="14" xfId="0" applyNumberFormat="1" applyFont="1" applyFill="1" applyBorder="1" applyAlignment="1"/>
    <xf numFmtId="0" fontId="0" fillId="0" borderId="0" xfId="0" applyNumberFormat="1" applyFont="1" applyAlignment="1"/>
    <xf numFmtId="0" fontId="5" fillId="4" borderId="8" xfId="0" applyFont="1" applyFill="1" applyBorder="1" applyAlignment="1"/>
    <xf numFmtId="1" fontId="5" fillId="4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right" vertical="center"/>
    </xf>
    <xf numFmtId="0" fontId="0" fillId="4" borderId="8" xfId="0" applyFont="1" applyFill="1" applyBorder="1" applyAlignment="1"/>
    <xf numFmtId="167" fontId="0" fillId="4" borderId="8" xfId="0" applyNumberFormat="1" applyFont="1" applyFill="1" applyBorder="1" applyAlignment="1"/>
    <xf numFmtId="0" fontId="5" fillId="4" borderId="8" xfId="0" applyFont="1" applyFill="1" applyBorder="1" applyAlignment="1">
      <alignment horizontal="right"/>
    </xf>
    <xf numFmtId="49" fontId="0" fillId="4" borderId="8" xfId="0" applyNumberFormat="1" applyFont="1" applyFill="1" applyBorder="1" applyAlignment="1"/>
    <xf numFmtId="2" fontId="0" fillId="4" borderId="8" xfId="0" applyNumberFormat="1" applyFont="1" applyFill="1" applyBorder="1" applyAlignment="1"/>
    <xf numFmtId="49" fontId="0" fillId="4" borderId="8" xfId="0" applyNumberFormat="1" applyFont="1" applyFill="1" applyBorder="1" applyAlignment="1">
      <alignment horizontal="right"/>
    </xf>
    <xf numFmtId="0" fontId="0" fillId="4" borderId="8" xfId="0" applyNumberFormat="1" applyFont="1" applyFill="1" applyBorder="1" applyAlignment="1"/>
    <xf numFmtId="0" fontId="5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right" vertical="center"/>
    </xf>
    <xf numFmtId="2" fontId="7" fillId="4" borderId="8" xfId="0" applyNumberFormat="1" applyFont="1" applyFill="1" applyBorder="1" applyAlignment="1"/>
    <xf numFmtId="4" fontId="5" fillId="4" borderId="8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right" vertical="center"/>
    </xf>
    <xf numFmtId="2" fontId="0" fillId="4" borderId="8" xfId="0" applyNumberFormat="1" applyFont="1" applyFill="1" applyBorder="1" applyAlignment="1">
      <alignment horizontal="right"/>
    </xf>
    <xf numFmtId="1" fontId="5" fillId="4" borderId="8" xfId="0" applyNumberFormat="1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/>
    </xf>
    <xf numFmtId="0" fontId="5" fillId="4" borderId="9" xfId="0" applyFont="1" applyFill="1" applyBorder="1" applyAlignment="1"/>
    <xf numFmtId="1" fontId="5" fillId="4" borderId="9" xfId="0" applyNumberFormat="1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/>
    </xf>
    <xf numFmtId="0" fontId="0" fillId="4" borderId="16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right"/>
    </xf>
    <xf numFmtId="0" fontId="0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left"/>
    </xf>
    <xf numFmtId="168" fontId="0" fillId="4" borderId="8" xfId="0" applyNumberFormat="1" applyFont="1" applyFill="1" applyBorder="1" applyAlignment="1">
      <alignment horizontal="center"/>
    </xf>
    <xf numFmtId="1" fontId="0" fillId="4" borderId="8" xfId="0" applyNumberFormat="1" applyFont="1" applyFill="1" applyBorder="1" applyAlignment="1">
      <alignment horizontal="center"/>
    </xf>
    <xf numFmtId="164" fontId="0" fillId="4" borderId="21" xfId="0" applyNumberFormat="1" applyFont="1" applyFill="1" applyBorder="1" applyAlignment="1"/>
    <xf numFmtId="4" fontId="0" fillId="4" borderId="16" xfId="0" applyNumberFormat="1" applyFont="1" applyFill="1" applyBorder="1" applyAlignment="1">
      <alignment horizontal="center"/>
    </xf>
    <xf numFmtId="0" fontId="0" fillId="4" borderId="16" xfId="0" applyFont="1" applyFill="1" applyBorder="1" applyAlignment="1">
      <alignment horizontal="left"/>
    </xf>
    <xf numFmtId="168" fontId="0" fillId="4" borderId="16" xfId="0" applyNumberFormat="1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left"/>
    </xf>
    <xf numFmtId="0" fontId="0" fillId="0" borderId="0" xfId="0" applyNumberFormat="1" applyFont="1" applyAlignment="1"/>
    <xf numFmtId="49" fontId="0" fillId="4" borderId="8" xfId="0" applyNumberFormat="1" applyFont="1" applyFill="1" applyBorder="1" applyAlignment="1">
      <alignment horizontal="center"/>
    </xf>
    <xf numFmtId="49" fontId="0" fillId="4" borderId="8" xfId="0" applyNumberFormat="1" applyFont="1" applyFill="1" applyBorder="1" applyAlignment="1">
      <alignment horizontal="left"/>
    </xf>
    <xf numFmtId="0" fontId="0" fillId="4" borderId="8" xfId="0" applyNumberFormat="1" applyFont="1" applyFill="1" applyBorder="1" applyAlignment="1">
      <alignment horizontal="right"/>
    </xf>
    <xf numFmtId="3" fontId="5" fillId="4" borderId="8" xfId="0" applyNumberFormat="1" applyFont="1" applyFill="1" applyBorder="1" applyAlignment="1"/>
    <xf numFmtId="164" fontId="5" fillId="4" borderId="8" xfId="0" applyNumberFormat="1" applyFont="1" applyFill="1" applyBorder="1" applyAlignment="1"/>
    <xf numFmtId="0" fontId="0" fillId="4" borderId="9" xfId="0" applyFont="1" applyFill="1" applyBorder="1" applyAlignment="1"/>
    <xf numFmtId="3" fontId="0" fillId="4" borderId="9" xfId="0" applyNumberFormat="1" applyFont="1" applyFill="1" applyBorder="1" applyAlignment="1"/>
    <xf numFmtId="0" fontId="0" fillId="4" borderId="14" xfId="0" applyFont="1" applyFill="1" applyBorder="1" applyAlignment="1">
      <alignment horizontal="center" vertical="top" wrapText="1"/>
    </xf>
    <xf numFmtId="49" fontId="0" fillId="4" borderId="14" xfId="0" applyNumberFormat="1" applyFont="1" applyFill="1" applyBorder="1" applyAlignment="1">
      <alignment horizontal="center" vertical="top" wrapText="1"/>
    </xf>
    <xf numFmtId="3" fontId="0" fillId="4" borderId="14" xfId="0" applyNumberFormat="1" applyFont="1" applyFill="1" applyBorder="1" applyAlignment="1">
      <alignment horizontal="center" vertical="top" wrapText="1"/>
    </xf>
    <xf numFmtId="49" fontId="0" fillId="4" borderId="13" xfId="0" applyNumberFormat="1" applyFont="1" applyFill="1" applyBorder="1" applyAlignment="1">
      <alignment horizontal="center"/>
    </xf>
    <xf numFmtId="0" fontId="0" fillId="4" borderId="24" xfId="0" applyNumberFormat="1" applyFont="1" applyFill="1" applyBorder="1" applyAlignment="1"/>
    <xf numFmtId="49" fontId="0" fillId="4" borderId="15" xfId="0" applyNumberFormat="1" applyFont="1" applyFill="1" applyBorder="1" applyAlignment="1">
      <alignment horizontal="center" vertical="top" wrapText="1"/>
    </xf>
    <xf numFmtId="0" fontId="7" fillId="7" borderId="25" xfId="0" applyNumberFormat="1" applyFont="1" applyFill="1" applyBorder="1" applyAlignment="1"/>
    <xf numFmtId="0" fontId="0" fillId="4" borderId="14" xfId="0" applyFont="1" applyFill="1" applyBorder="1" applyAlignment="1">
      <alignment vertical="top" wrapText="1"/>
    </xf>
    <xf numFmtId="3" fontId="0" fillId="4" borderId="14" xfId="0" applyNumberFormat="1" applyFont="1" applyFill="1" applyBorder="1" applyAlignment="1">
      <alignment vertical="top" wrapText="1"/>
    </xf>
    <xf numFmtId="164" fontId="0" fillId="4" borderId="14" xfId="0" applyNumberFormat="1" applyFont="1" applyFill="1" applyBorder="1" applyAlignment="1">
      <alignment vertical="top" wrapText="1"/>
    </xf>
    <xf numFmtId="0" fontId="0" fillId="4" borderId="13" xfId="0" applyNumberFormat="1" applyFont="1" applyFill="1" applyBorder="1" applyAlignment="1">
      <alignment horizontal="center"/>
    </xf>
    <xf numFmtId="0" fontId="0" fillId="4" borderId="26" xfId="0" applyFont="1" applyFill="1" applyBorder="1" applyAlignment="1"/>
    <xf numFmtId="0" fontId="0" fillId="4" borderId="16" xfId="0" applyNumberFormat="1" applyFont="1" applyFill="1" applyBorder="1" applyAlignment="1">
      <alignment horizontal="center" vertical="top" wrapText="1"/>
    </xf>
    <xf numFmtId="49" fontId="0" fillId="4" borderId="16" xfId="0" applyNumberFormat="1" applyFont="1" applyFill="1" applyBorder="1" applyAlignment="1">
      <alignment horizontal="center" vertical="top" wrapText="1"/>
    </xf>
    <xf numFmtId="49" fontId="5" fillId="4" borderId="16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 vertical="top" wrapText="1"/>
    </xf>
    <xf numFmtId="3" fontId="0" fillId="4" borderId="16" xfId="0" applyNumberFormat="1" applyFont="1" applyFill="1" applyBorder="1" applyAlignment="1">
      <alignment horizontal="center" vertical="top" wrapText="1"/>
    </xf>
    <xf numFmtId="164" fontId="0" fillId="4" borderId="16" xfId="0" applyNumberFormat="1" applyFont="1" applyFill="1" applyBorder="1" applyAlignment="1">
      <alignment vertical="top" wrapText="1"/>
    </xf>
    <xf numFmtId="164" fontId="0" fillId="4" borderId="16" xfId="0" applyNumberFormat="1" applyFont="1" applyFill="1" applyBorder="1" applyAlignment="1">
      <alignment horizontal="right" vertical="top" wrapText="1"/>
    </xf>
    <xf numFmtId="4" fontId="5" fillId="4" borderId="16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vertical="top" wrapText="1"/>
    </xf>
    <xf numFmtId="0" fontId="0" fillId="4" borderId="16" xfId="0" applyFont="1" applyFill="1" applyBorder="1" applyAlignment="1">
      <alignment vertical="top" wrapText="1"/>
    </xf>
    <xf numFmtId="49" fontId="0" fillId="4" borderId="16" xfId="0" applyNumberFormat="1" applyFont="1" applyFill="1" applyBorder="1" applyAlignment="1">
      <alignment vertical="top" wrapText="1"/>
    </xf>
    <xf numFmtId="0" fontId="0" fillId="4" borderId="13" xfId="0" applyFont="1" applyFill="1" applyBorder="1" applyAlignment="1"/>
    <xf numFmtId="3" fontId="0" fillId="4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vertical="top" wrapText="1"/>
    </xf>
    <xf numFmtId="9" fontId="0" fillId="4" borderId="8" xfId="0" applyNumberFormat="1" applyFont="1" applyFill="1" applyBorder="1" applyAlignment="1"/>
    <xf numFmtId="3" fontId="0" fillId="4" borderId="16" xfId="0" applyNumberFormat="1" applyFont="1" applyFill="1" applyBorder="1" applyAlignment="1">
      <alignment horizontal="right" vertical="top" wrapText="1"/>
    </xf>
    <xf numFmtId="1" fontId="0" fillId="4" borderId="13" xfId="0" applyNumberFormat="1" applyFont="1" applyFill="1" applyBorder="1" applyAlignment="1">
      <alignment horizontal="center"/>
    </xf>
    <xf numFmtId="3" fontId="0" fillId="4" borderId="16" xfId="0" applyNumberFormat="1" applyFont="1" applyFill="1" applyBorder="1" applyAlignment="1">
      <alignment vertical="top" wrapText="1"/>
    </xf>
    <xf numFmtId="167" fontId="0" fillId="4" borderId="16" xfId="0" applyNumberFormat="1" applyFont="1" applyFill="1" applyBorder="1" applyAlignment="1">
      <alignment horizontal="center" vertical="top" wrapText="1"/>
    </xf>
    <xf numFmtId="1" fontId="0" fillId="4" borderId="8" xfId="0" applyNumberFormat="1" applyFont="1" applyFill="1" applyBorder="1" applyAlignment="1"/>
    <xf numFmtId="2" fontId="0" fillId="4" borderId="16" xfId="0" applyNumberFormat="1" applyFont="1" applyFill="1" applyBorder="1" applyAlignment="1">
      <alignment horizontal="center" vertical="top" wrapText="1"/>
    </xf>
    <xf numFmtId="0" fontId="7" fillId="4" borderId="16" xfId="0" applyFont="1" applyFill="1" applyBorder="1" applyAlignment="1"/>
    <xf numFmtId="3" fontId="0" fillId="4" borderId="15" xfId="0" applyNumberFormat="1" applyFont="1" applyFill="1" applyBorder="1" applyAlignment="1"/>
    <xf numFmtId="164" fontId="0" fillId="4" borderId="15" xfId="0" applyNumberFormat="1" applyFont="1" applyFill="1" applyBorder="1" applyAlignment="1"/>
    <xf numFmtId="164" fontId="0" fillId="4" borderId="17" xfId="0" applyNumberFormat="1" applyFont="1" applyFill="1" applyBorder="1" applyAlignment="1">
      <alignment vertical="top" wrapText="1"/>
    </xf>
    <xf numFmtId="0" fontId="0" fillId="0" borderId="0" xfId="0" applyNumberFormat="1" applyFont="1" applyAlignment="1"/>
    <xf numFmtId="49" fontId="0" fillId="4" borderId="13" xfId="0" applyNumberFormat="1" applyFont="1" applyFill="1" applyBorder="1" applyAlignment="1">
      <alignment horizontal="left"/>
    </xf>
    <xf numFmtId="0" fontId="0" fillId="4" borderId="13" xfId="0" applyNumberFormat="1" applyFont="1" applyFill="1" applyBorder="1" applyAlignment="1">
      <alignment horizontal="left"/>
    </xf>
    <xf numFmtId="0" fontId="0" fillId="4" borderId="22" xfId="0" applyFont="1" applyFill="1" applyBorder="1" applyAlignment="1"/>
    <xf numFmtId="0" fontId="0" fillId="4" borderId="27" xfId="0" applyFont="1" applyFill="1" applyBorder="1" applyAlignment="1"/>
    <xf numFmtId="49" fontId="5" fillId="4" borderId="28" xfId="0" applyNumberFormat="1" applyFont="1" applyFill="1" applyBorder="1" applyAlignment="1"/>
    <xf numFmtId="49" fontId="5" fillId="4" borderId="23" xfId="0" applyNumberFormat="1" applyFont="1" applyFill="1" applyBorder="1" applyAlignment="1"/>
    <xf numFmtId="0" fontId="0" fillId="4" borderId="29" xfId="0" applyNumberFormat="1" applyFont="1" applyFill="1" applyBorder="1" applyAlignment="1"/>
    <xf numFmtId="0" fontId="0" fillId="4" borderId="29" xfId="0" applyFont="1" applyFill="1" applyBorder="1" applyAlignment="1"/>
    <xf numFmtId="0" fontId="0" fillId="4" borderId="30" xfId="0" applyNumberFormat="1" applyFont="1" applyFill="1" applyBorder="1" applyAlignment="1"/>
    <xf numFmtId="0" fontId="0" fillId="4" borderId="22" xfId="0" applyNumberFormat="1" applyFont="1" applyFill="1" applyBorder="1" applyAlignment="1"/>
    <xf numFmtId="0" fontId="0" fillId="4" borderId="23" xfId="0" applyFont="1" applyFill="1" applyBorder="1" applyAlignment="1"/>
    <xf numFmtId="0" fontId="0" fillId="4" borderId="23" xfId="0" applyNumberFormat="1" applyFont="1" applyFill="1" applyBorder="1" applyAlignment="1"/>
    <xf numFmtId="0" fontId="5" fillId="4" borderId="23" xfId="0" applyFont="1" applyFill="1" applyBorder="1" applyAlignment="1"/>
    <xf numFmtId="0" fontId="0" fillId="4" borderId="29" xfId="0" applyNumberFormat="1" applyFont="1" applyFill="1" applyBorder="1" applyAlignment="1">
      <alignment horizontal="right"/>
    </xf>
    <xf numFmtId="0" fontId="0" fillId="4" borderId="15" xfId="0" applyFont="1" applyFill="1" applyBorder="1" applyAlignment="1">
      <alignment horizontal="center" vertical="top" wrapText="1"/>
    </xf>
    <xf numFmtId="0" fontId="0" fillId="4" borderId="15" xfId="0" applyFont="1" applyFill="1" applyBorder="1" applyAlignment="1">
      <alignment vertical="top" wrapText="1"/>
    </xf>
    <xf numFmtId="3" fontId="0" fillId="4" borderId="15" xfId="0" applyNumberFormat="1" applyFont="1" applyFill="1" applyBorder="1" applyAlignment="1">
      <alignment horizontal="center" vertical="top" wrapText="1"/>
    </xf>
    <xf numFmtId="4" fontId="0" fillId="4" borderId="15" xfId="0" applyNumberFormat="1" applyFont="1" applyFill="1" applyBorder="1" applyAlignment="1">
      <alignment horizontal="right"/>
    </xf>
    <xf numFmtId="49" fontId="5" fillId="4" borderId="17" xfId="0" applyNumberFormat="1" applyFont="1" applyFill="1" applyBorder="1" applyAlignment="1">
      <alignment horizontal="left" vertical="center" wrapText="1"/>
    </xf>
    <xf numFmtId="4" fontId="0" fillId="4" borderId="14" xfId="0" applyNumberFormat="1" applyFont="1" applyFill="1" applyBorder="1" applyAlignment="1">
      <alignment horizontal="right"/>
    </xf>
    <xf numFmtId="1" fontId="0" fillId="4" borderId="13" xfId="0" applyNumberFormat="1" applyFont="1" applyFill="1" applyBorder="1" applyAlignment="1">
      <alignment horizontal="left"/>
    </xf>
    <xf numFmtId="49" fontId="0" fillId="4" borderId="16" xfId="0" applyNumberFormat="1" applyFont="1" applyFill="1" applyBorder="1" applyAlignment="1">
      <alignment horizontal="right" vertical="top" wrapText="1"/>
    </xf>
    <xf numFmtId="0" fontId="0" fillId="4" borderId="16" xfId="0" applyFont="1" applyFill="1" applyBorder="1" applyAlignment="1">
      <alignment horizontal="left" vertical="top" wrapText="1"/>
    </xf>
    <xf numFmtId="0" fontId="7" fillId="4" borderId="16" xfId="0" applyFont="1" applyFill="1" applyBorder="1" applyAlignment="1">
      <alignment horizontal="left" vertical="top" wrapText="1"/>
    </xf>
    <xf numFmtId="164" fontId="7" fillId="4" borderId="16" xfId="0" applyNumberFormat="1" applyFont="1" applyFill="1" applyBorder="1" applyAlignment="1">
      <alignment horizontal="center" vertical="top" wrapText="1"/>
    </xf>
    <xf numFmtId="1" fontId="7" fillId="4" borderId="13" xfId="0" applyNumberFormat="1" applyFont="1" applyFill="1" applyBorder="1" applyAlignment="1">
      <alignment horizontal="left"/>
    </xf>
    <xf numFmtId="164" fontId="7" fillId="4" borderId="16" xfId="0" applyNumberFormat="1" applyFont="1" applyFill="1" applyBorder="1" applyAlignment="1">
      <alignment horizontal="right" vertical="top" wrapText="1"/>
    </xf>
    <xf numFmtId="164" fontId="7" fillId="4" borderId="16" xfId="0" applyNumberFormat="1" applyFont="1" applyFill="1" applyBorder="1" applyAlignment="1"/>
    <xf numFmtId="0" fontId="7" fillId="4" borderId="13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left"/>
    </xf>
    <xf numFmtId="49" fontId="0" fillId="4" borderId="16" xfId="0" applyNumberFormat="1" applyFont="1" applyFill="1" applyBorder="1" applyAlignment="1">
      <alignment horizontal="left"/>
    </xf>
    <xf numFmtId="0" fontId="7" fillId="4" borderId="27" xfId="0" applyFont="1" applyFill="1" applyBorder="1" applyAlignment="1"/>
    <xf numFmtId="0" fontId="7" fillId="4" borderId="8" xfId="0" applyFont="1" applyFill="1" applyBorder="1" applyAlignment="1"/>
    <xf numFmtId="0" fontId="7" fillId="4" borderId="29" xfId="0" applyFont="1" applyFill="1" applyBorder="1" applyAlignment="1"/>
    <xf numFmtId="0" fontId="0" fillId="4" borderId="15" xfId="0" applyFont="1" applyFill="1" applyBorder="1" applyAlignment="1">
      <alignment horizontal="right" vertical="top" wrapText="1"/>
    </xf>
    <xf numFmtId="0" fontId="0" fillId="4" borderId="30" xfId="0" applyFont="1" applyFill="1" applyBorder="1" applyAlignment="1"/>
    <xf numFmtId="0" fontId="0" fillId="0" borderId="0" xfId="0" applyNumberFormat="1" applyFont="1" applyAlignment="1"/>
    <xf numFmtId="0" fontId="0" fillId="4" borderId="9" xfId="0" applyFont="1" applyFill="1" applyBorder="1" applyAlignment="1">
      <alignment vertical="center"/>
    </xf>
    <xf numFmtId="0" fontId="0" fillId="4" borderId="31" xfId="0" applyFont="1" applyFill="1" applyBorder="1" applyAlignment="1">
      <alignment vertical="center"/>
    </xf>
    <xf numFmtId="49" fontId="0" fillId="4" borderId="32" xfId="0" applyNumberFormat="1" applyFont="1" applyFill="1" applyBorder="1" applyAlignment="1">
      <alignment wrapText="1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center" vertical="center" wrapText="1"/>
    </xf>
    <xf numFmtId="0" fontId="0" fillId="4" borderId="33" xfId="0" applyFont="1" applyFill="1" applyBorder="1" applyAlignment="1"/>
    <xf numFmtId="0" fontId="0" fillId="4" borderId="34" xfId="0" applyFont="1" applyFill="1" applyBorder="1" applyAlignment="1"/>
    <xf numFmtId="49" fontId="0" fillId="4" borderId="17" xfId="0" applyNumberFormat="1" applyFont="1" applyFill="1" applyBorder="1" applyAlignment="1">
      <alignment horizontal="left" vertical="center" wrapText="1"/>
    </xf>
    <xf numFmtId="49" fontId="0" fillId="4" borderId="17" xfId="0" applyNumberFormat="1" applyFont="1" applyFill="1" applyBorder="1" applyAlignment="1">
      <alignment horizontal="left" vertical="center"/>
    </xf>
    <xf numFmtId="169" fontId="0" fillId="4" borderId="17" xfId="0" applyNumberFormat="1" applyFont="1" applyFill="1" applyBorder="1" applyAlignment="1">
      <alignment horizontal="left"/>
    </xf>
    <xf numFmtId="0" fontId="0" fillId="4" borderId="35" xfId="0" applyFont="1" applyFill="1" applyBorder="1" applyAlignment="1"/>
    <xf numFmtId="0" fontId="0" fillId="4" borderId="36" xfId="0" applyFont="1" applyFill="1" applyBorder="1" applyAlignment="1"/>
    <xf numFmtId="164" fontId="0" fillId="4" borderId="35" xfId="0" applyNumberFormat="1" applyFont="1" applyFill="1" applyBorder="1" applyAlignment="1"/>
    <xf numFmtId="164" fontId="0" fillId="4" borderId="36" xfId="0" applyNumberFormat="1" applyFont="1" applyFill="1" applyBorder="1" applyAlignment="1"/>
    <xf numFmtId="164" fontId="0" fillId="4" borderId="37" xfId="0" applyNumberFormat="1" applyFont="1" applyFill="1" applyBorder="1" applyAlignment="1"/>
    <xf numFmtId="164" fontId="0" fillId="4" borderId="38" xfId="0" applyNumberFormat="1" applyFont="1" applyFill="1" applyBorder="1" applyAlignment="1"/>
    <xf numFmtId="164" fontId="0" fillId="4" borderId="13" xfId="0" applyNumberFormat="1" applyFont="1" applyFill="1" applyBorder="1" applyAlignment="1"/>
    <xf numFmtId="169" fontId="5" fillId="4" borderId="17" xfId="0" applyNumberFormat="1" applyFont="1" applyFill="1" applyBorder="1" applyAlignment="1">
      <alignment wrapText="1"/>
    </xf>
    <xf numFmtId="169" fontId="5" fillId="4" borderId="41" xfId="0" applyNumberFormat="1" applyFont="1" applyFill="1" applyBorder="1" applyAlignment="1">
      <alignment wrapText="1"/>
    </xf>
    <xf numFmtId="49" fontId="5" fillId="4" borderId="42" xfId="0" applyNumberFormat="1" applyFont="1" applyFill="1" applyBorder="1" applyAlignment="1">
      <alignment horizontal="left" wrapText="1"/>
    </xf>
    <xf numFmtId="0" fontId="5" fillId="4" borderId="43" xfId="0" applyFont="1" applyFill="1" applyBorder="1" applyAlignment="1">
      <alignment horizontal="left" wrapText="1"/>
    </xf>
    <xf numFmtId="169" fontId="5" fillId="4" borderId="44" xfId="0" applyNumberFormat="1" applyFont="1" applyFill="1" applyBorder="1" applyAlignment="1">
      <alignment wrapText="1"/>
    </xf>
    <xf numFmtId="169" fontId="0" fillId="4" borderId="47" xfId="0" applyNumberFormat="1" applyFont="1" applyFill="1" applyBorder="1" applyAlignment="1">
      <alignment wrapText="1"/>
    </xf>
    <xf numFmtId="0" fontId="0" fillId="4" borderId="48" xfId="0" applyFont="1" applyFill="1" applyBorder="1" applyAlignment="1"/>
    <xf numFmtId="49" fontId="5" fillId="4" borderId="42" xfId="0" applyNumberFormat="1" applyFont="1" applyFill="1" applyBorder="1" applyAlignment="1">
      <alignment horizontal="justify" wrapText="1"/>
    </xf>
    <xf numFmtId="0" fontId="5" fillId="4" borderId="23" xfId="0" applyFont="1" applyFill="1" applyBorder="1" applyAlignment="1">
      <alignment horizontal="justify" wrapText="1"/>
    </xf>
    <xf numFmtId="0" fontId="0" fillId="0" borderId="0" xfId="0" applyNumberFormat="1" applyFont="1" applyAlignment="1"/>
    <xf numFmtId="0" fontId="0" fillId="4" borderId="52" xfId="0" applyFont="1" applyFill="1" applyBorder="1" applyAlignment="1"/>
    <xf numFmtId="0" fontId="0" fillId="4" borderId="53" xfId="0" applyFont="1" applyFill="1" applyBorder="1" applyAlignment="1"/>
    <xf numFmtId="0" fontId="0" fillId="4" borderId="54" xfId="0" applyFont="1" applyFill="1" applyBorder="1" applyAlignment="1"/>
    <xf numFmtId="1" fontId="9" fillId="8" borderId="55" xfId="0" applyNumberFormat="1" applyFont="1" applyFill="1" applyBorder="1" applyAlignment="1"/>
    <xf numFmtId="49" fontId="9" fillId="8" borderId="56" xfId="0" applyNumberFormat="1" applyFont="1" applyFill="1" applyBorder="1" applyAlignment="1">
      <alignment horizontal="left"/>
    </xf>
    <xf numFmtId="0" fontId="9" fillId="8" borderId="57" xfId="0" applyFont="1" applyFill="1" applyBorder="1" applyAlignment="1"/>
    <xf numFmtId="49" fontId="9" fillId="4" borderId="58" xfId="0" applyNumberFormat="1" applyFont="1" applyFill="1" applyBorder="1" applyAlignment="1">
      <alignment horizontal="left"/>
    </xf>
    <xf numFmtId="49" fontId="9" fillId="4" borderId="60" xfId="0" applyNumberFormat="1" applyFont="1" applyFill="1" applyBorder="1" applyAlignment="1">
      <alignment horizontal="left"/>
    </xf>
    <xf numFmtId="49" fontId="12" fillId="4" borderId="60" xfId="0" applyNumberFormat="1" applyFont="1" applyFill="1" applyBorder="1" applyAlignment="1"/>
    <xf numFmtId="170" fontId="13" fillId="4" borderId="17" xfId="0" applyNumberFormat="1" applyFont="1" applyFill="1" applyBorder="1" applyAlignment="1">
      <alignment horizontal="center"/>
    </xf>
    <xf numFmtId="49" fontId="12" fillId="4" borderId="35" xfId="0" applyNumberFormat="1" applyFont="1" applyFill="1" applyBorder="1" applyAlignment="1">
      <alignment horizontal="center" vertical="center"/>
    </xf>
    <xf numFmtId="0" fontId="12" fillId="4" borderId="52" xfId="0" applyFont="1" applyFill="1" applyBorder="1" applyAlignment="1"/>
    <xf numFmtId="170" fontId="13" fillId="8" borderId="17" xfId="0" applyNumberFormat="1" applyFont="1" applyFill="1" applyBorder="1" applyAlignment="1">
      <alignment horizontal="center"/>
    </xf>
    <xf numFmtId="171" fontId="13" fillId="8" borderId="17" xfId="0" applyNumberFormat="1" applyFont="1" applyFill="1" applyBorder="1" applyAlignment="1">
      <alignment horizontal="center"/>
    </xf>
    <xf numFmtId="49" fontId="12" fillId="4" borderId="35" xfId="0" applyNumberFormat="1" applyFont="1" applyFill="1" applyBorder="1" applyAlignment="1">
      <alignment horizontal="center"/>
    </xf>
    <xf numFmtId="170" fontId="12" fillId="4" borderId="17" xfId="0" applyNumberFormat="1" applyFont="1" applyFill="1" applyBorder="1" applyAlignment="1">
      <alignment horizontal="center"/>
    </xf>
    <xf numFmtId="170" fontId="9" fillId="4" borderId="17" xfId="0" applyNumberFormat="1" applyFont="1" applyFill="1" applyBorder="1" applyAlignment="1">
      <alignment horizontal="center"/>
    </xf>
    <xf numFmtId="49" fontId="12" fillId="4" borderId="63" xfId="0" applyNumberFormat="1" applyFont="1" applyFill="1" applyBorder="1" applyAlignment="1"/>
    <xf numFmtId="170" fontId="9" fillId="4" borderId="41" xfId="0" applyNumberFormat="1" applyFont="1" applyFill="1" applyBorder="1" applyAlignment="1">
      <alignment horizontal="center"/>
    </xf>
    <xf numFmtId="49" fontId="12" fillId="4" borderId="64" xfId="0" applyNumberFormat="1" applyFont="1" applyFill="1" applyBorder="1" applyAlignment="1">
      <alignment horizontal="center" vertical="center"/>
    </xf>
    <xf numFmtId="0" fontId="12" fillId="4" borderId="65" xfId="0" applyFont="1" applyFill="1" applyBorder="1" applyAlignment="1"/>
    <xf numFmtId="0" fontId="12" fillId="4" borderId="53" xfId="0" applyFont="1" applyFill="1" applyBorder="1" applyAlignment="1"/>
    <xf numFmtId="0" fontId="0" fillId="4" borderId="65" xfId="0" applyFont="1" applyFill="1" applyBorder="1" applyAlignment="1"/>
    <xf numFmtId="170" fontId="12" fillId="4" borderId="53" xfId="0" applyNumberFormat="1" applyFont="1" applyFill="1" applyBorder="1" applyAlignment="1"/>
    <xf numFmtId="172" fontId="12" fillId="4" borderId="53" xfId="0" applyNumberFormat="1" applyFont="1" applyFill="1" applyBorder="1" applyAlignment="1"/>
    <xf numFmtId="49" fontId="14" fillId="4" borderId="53" xfId="0" applyNumberFormat="1" applyFont="1" applyFill="1" applyBorder="1" applyAlignment="1"/>
    <xf numFmtId="173" fontId="12" fillId="4" borderId="53" xfId="0" applyNumberFormat="1" applyFont="1" applyFill="1" applyBorder="1" applyAlignment="1">
      <alignment horizontal="center"/>
    </xf>
    <xf numFmtId="171" fontId="12" fillId="4" borderId="53" xfId="0" applyNumberFormat="1" applyFont="1" applyFill="1" applyBorder="1" applyAlignment="1"/>
    <xf numFmtId="174" fontId="12" fillId="4" borderId="53" xfId="0" applyNumberFormat="1" applyFont="1" applyFill="1" applyBorder="1" applyAlignment="1">
      <alignment horizontal="center"/>
    </xf>
    <xf numFmtId="174" fontId="9" fillId="4" borderId="53" xfId="0" applyNumberFormat="1" applyFont="1" applyFill="1" applyBorder="1" applyAlignment="1">
      <alignment horizontal="center"/>
    </xf>
    <xf numFmtId="0" fontId="12" fillId="4" borderId="53" xfId="0" applyNumberFormat="1" applyFont="1" applyFill="1" applyBorder="1" applyAlignment="1">
      <alignment horizontal="left"/>
    </xf>
    <xf numFmtId="170" fontId="12" fillId="4" borderId="66" xfId="0" applyNumberFormat="1" applyFont="1" applyFill="1" applyBorder="1" applyAlignment="1"/>
    <xf numFmtId="173" fontId="12" fillId="4" borderId="66" xfId="0" applyNumberFormat="1" applyFont="1" applyFill="1" applyBorder="1" applyAlignment="1">
      <alignment horizontal="center"/>
    </xf>
    <xf numFmtId="171" fontId="12" fillId="4" borderId="66" xfId="0" applyNumberFormat="1" applyFont="1" applyFill="1" applyBorder="1" applyAlignment="1"/>
    <xf numFmtId="174" fontId="12" fillId="4" borderId="66" xfId="0" applyNumberFormat="1" applyFont="1" applyFill="1" applyBorder="1" applyAlignment="1">
      <alignment horizontal="center"/>
    </xf>
    <xf numFmtId="174" fontId="9" fillId="4" borderId="66" xfId="0" applyNumberFormat="1" applyFont="1" applyFill="1" applyBorder="1" applyAlignment="1">
      <alignment horizontal="center"/>
    </xf>
    <xf numFmtId="0" fontId="0" fillId="4" borderId="66" xfId="0" applyFont="1" applyFill="1" applyBorder="1" applyAlignment="1"/>
    <xf numFmtId="49" fontId="9" fillId="8" borderId="67" xfId="0" applyNumberFormat="1" applyFont="1" applyFill="1" applyBorder="1" applyAlignment="1">
      <alignment horizontal="center" vertical="center" wrapText="1"/>
    </xf>
    <xf numFmtId="49" fontId="9" fillId="8" borderId="68" xfId="0" applyNumberFormat="1" applyFont="1" applyFill="1" applyBorder="1" applyAlignment="1">
      <alignment horizontal="center" vertical="center" wrapText="1"/>
    </xf>
    <xf numFmtId="49" fontId="9" fillId="8" borderId="69" xfId="0" applyNumberFormat="1" applyFont="1" applyFill="1" applyBorder="1" applyAlignment="1">
      <alignment horizontal="center" vertical="center" wrapText="1"/>
    </xf>
    <xf numFmtId="0" fontId="0" fillId="4" borderId="70" xfId="0" applyFont="1" applyFill="1" applyBorder="1" applyAlignment="1"/>
    <xf numFmtId="49" fontId="9" fillId="8" borderId="71" xfId="0" applyNumberFormat="1" applyFont="1" applyFill="1" applyBorder="1" applyAlignment="1">
      <alignment vertical="center"/>
    </xf>
    <xf numFmtId="174" fontId="9" fillId="8" borderId="72" xfId="0" applyNumberFormat="1" applyFont="1" applyFill="1" applyBorder="1" applyAlignment="1">
      <alignment vertical="center" wrapText="1"/>
    </xf>
    <xf numFmtId="174" fontId="9" fillId="8" borderId="73" xfId="0" applyNumberFormat="1" applyFont="1" applyFill="1" applyBorder="1" applyAlignment="1">
      <alignment vertical="center" wrapText="1"/>
    </xf>
    <xf numFmtId="49" fontId="9" fillId="8" borderId="74" xfId="0" applyNumberFormat="1" applyFont="1" applyFill="1" applyBorder="1" applyAlignment="1">
      <alignment horizontal="center"/>
    </xf>
    <xf numFmtId="49" fontId="9" fillId="8" borderId="75" xfId="0" applyNumberFormat="1" applyFont="1" applyFill="1" applyBorder="1" applyAlignment="1">
      <alignment horizontal="center"/>
    </xf>
    <xf numFmtId="49" fontId="9" fillId="8" borderId="76" xfId="0" applyNumberFormat="1" applyFont="1" applyFill="1" applyBorder="1" applyAlignment="1">
      <alignment horizontal="center"/>
    </xf>
    <xf numFmtId="174" fontId="9" fillId="8" borderId="77" xfId="0" applyNumberFormat="1" applyFont="1" applyFill="1" applyBorder="1" applyAlignment="1">
      <alignment vertical="center"/>
    </xf>
    <xf numFmtId="174" fontId="9" fillId="8" borderId="78" xfId="0" applyNumberFormat="1" applyFont="1" applyFill="1" applyBorder="1" applyAlignment="1">
      <alignment vertical="center"/>
    </xf>
    <xf numFmtId="174" fontId="9" fillId="8" borderId="79" xfId="0" applyNumberFormat="1" applyFont="1" applyFill="1" applyBorder="1" applyAlignment="1">
      <alignment vertical="center"/>
    </xf>
    <xf numFmtId="171" fontId="13" fillId="8" borderId="58" xfId="0" applyNumberFormat="1" applyFont="1" applyFill="1" applyBorder="1" applyAlignment="1">
      <alignment horizontal="center"/>
    </xf>
    <xf numFmtId="173" fontId="13" fillId="8" borderId="47" xfId="0" applyNumberFormat="1" applyFont="1" applyFill="1" applyBorder="1" applyAlignment="1">
      <alignment horizontal="center"/>
    </xf>
    <xf numFmtId="170" fontId="13" fillId="8" borderId="47" xfId="0" applyNumberFormat="1" applyFont="1" applyFill="1" applyBorder="1" applyAlignment="1">
      <alignment horizontal="center"/>
    </xf>
    <xf numFmtId="172" fontId="12" fillId="4" borderId="47" xfId="0" applyNumberFormat="1" applyFont="1" applyFill="1" applyBorder="1" applyAlignment="1">
      <alignment horizontal="center"/>
    </xf>
    <xf numFmtId="174" fontId="12" fillId="4" borderId="47" xfId="0" applyNumberFormat="1" applyFont="1" applyFill="1" applyBorder="1" applyAlignment="1">
      <alignment horizontal="center"/>
    </xf>
    <xf numFmtId="2" fontId="9" fillId="4" borderId="33" xfId="0" applyNumberFormat="1" applyFont="1" applyFill="1" applyBorder="1" applyAlignment="1">
      <alignment horizontal="center"/>
    </xf>
    <xf numFmtId="49" fontId="9" fillId="8" borderId="80" xfId="0" applyNumberFormat="1" applyFont="1" applyFill="1" applyBorder="1" applyAlignment="1">
      <alignment horizontal="center"/>
    </xf>
    <xf numFmtId="170" fontId="13" fillId="8" borderId="44" xfId="0" applyNumberFormat="1" applyFont="1" applyFill="1" applyBorder="1" applyAlignment="1">
      <alignment horizontal="center"/>
    </xf>
    <xf numFmtId="9" fontId="12" fillId="8" borderId="81" xfId="0" applyNumberFormat="1" applyFont="1" applyFill="1" applyBorder="1" applyAlignment="1"/>
    <xf numFmtId="1" fontId="12" fillId="4" borderId="53" xfId="0" applyNumberFormat="1" applyFont="1" applyFill="1" applyBorder="1" applyAlignment="1"/>
    <xf numFmtId="171" fontId="13" fillId="8" borderId="60" xfId="0" applyNumberFormat="1" applyFont="1" applyFill="1" applyBorder="1" applyAlignment="1">
      <alignment horizontal="center"/>
    </xf>
    <xf numFmtId="173" fontId="13" fillId="8" borderId="17" xfId="0" applyNumberFormat="1" applyFont="1" applyFill="1" applyBorder="1" applyAlignment="1">
      <alignment horizontal="center"/>
    </xf>
    <xf numFmtId="172" fontId="12" fillId="4" borderId="17" xfId="0" applyNumberFormat="1" applyFont="1" applyFill="1" applyBorder="1" applyAlignment="1">
      <alignment horizontal="center"/>
    </xf>
    <xf numFmtId="174" fontId="12" fillId="4" borderId="17" xfId="0" applyNumberFormat="1" applyFont="1" applyFill="1" applyBorder="1" applyAlignment="1">
      <alignment horizontal="center"/>
    </xf>
    <xf numFmtId="2" fontId="9" fillId="4" borderId="35" xfId="0" applyNumberFormat="1" applyFont="1" applyFill="1" applyBorder="1" applyAlignment="1">
      <alignment horizontal="center"/>
    </xf>
    <xf numFmtId="49" fontId="12" fillId="4" borderId="82" xfId="0" applyNumberFormat="1" applyFont="1" applyFill="1" applyBorder="1" applyAlignment="1"/>
    <xf numFmtId="1" fontId="12" fillId="4" borderId="83" xfId="0" applyNumberFormat="1" applyFont="1" applyFill="1" applyBorder="1" applyAlignment="1"/>
    <xf numFmtId="49" fontId="12" fillId="4" borderId="52" xfId="0" applyNumberFormat="1" applyFont="1" applyFill="1" applyBorder="1" applyAlignment="1"/>
    <xf numFmtId="1" fontId="12" fillId="4" borderId="54" xfId="0" applyNumberFormat="1" applyFont="1" applyFill="1" applyBorder="1" applyAlignment="1"/>
    <xf numFmtId="9" fontId="12" fillId="4" borderId="53" xfId="0" applyNumberFormat="1" applyFont="1" applyFill="1" applyBorder="1" applyAlignment="1">
      <alignment horizontal="left"/>
    </xf>
    <xf numFmtId="0" fontId="12" fillId="4" borderId="84" xfId="0" applyFont="1" applyFill="1" applyBorder="1" applyAlignment="1"/>
    <xf numFmtId="0" fontId="12" fillId="4" borderId="66" xfId="0" applyFont="1" applyFill="1" applyBorder="1" applyAlignment="1"/>
    <xf numFmtId="1" fontId="9" fillId="4" borderId="85" xfId="0" applyNumberFormat="1" applyFont="1" applyFill="1" applyBorder="1" applyAlignment="1"/>
    <xf numFmtId="49" fontId="9" fillId="8" borderId="80" xfId="0" applyNumberFormat="1" applyFont="1" applyFill="1" applyBorder="1" applyAlignment="1">
      <alignment vertical="center" wrapText="1"/>
    </xf>
    <xf numFmtId="9" fontId="9" fillId="8" borderId="81" xfId="0" applyNumberFormat="1" applyFont="1" applyFill="1" applyBorder="1" applyAlignment="1">
      <alignment vertical="center" wrapText="1"/>
    </xf>
    <xf numFmtId="174" fontId="12" fillId="4" borderId="83" xfId="0" applyNumberFormat="1" applyFont="1" applyFill="1" applyBorder="1" applyAlignment="1"/>
    <xf numFmtId="0" fontId="12" fillId="4" borderId="52" xfId="0" applyNumberFormat="1" applyFont="1" applyFill="1" applyBorder="1" applyAlignment="1"/>
    <xf numFmtId="174" fontId="12" fillId="4" borderId="54" xfId="0" applyNumberFormat="1" applyFont="1" applyFill="1" applyBorder="1" applyAlignment="1"/>
    <xf numFmtId="1" fontId="9" fillId="4" borderId="54" xfId="0" applyNumberFormat="1" applyFont="1" applyFill="1" applyBorder="1" applyAlignment="1"/>
    <xf numFmtId="171" fontId="13" fillId="8" borderId="63" xfId="0" applyNumberFormat="1" applyFont="1" applyFill="1" applyBorder="1" applyAlignment="1">
      <alignment horizontal="center"/>
    </xf>
    <xf numFmtId="173" fontId="13" fillId="8" borderId="41" xfId="0" applyNumberFormat="1" applyFont="1" applyFill="1" applyBorder="1" applyAlignment="1">
      <alignment horizontal="center"/>
    </xf>
    <xf numFmtId="170" fontId="13" fillId="8" borderId="41" xfId="0" applyNumberFormat="1" applyFont="1" applyFill="1" applyBorder="1" applyAlignment="1">
      <alignment horizontal="center"/>
    </xf>
    <xf numFmtId="172" fontId="12" fillId="4" borderId="41" xfId="0" applyNumberFormat="1" applyFont="1" applyFill="1" applyBorder="1" applyAlignment="1">
      <alignment horizontal="center"/>
    </xf>
    <xf numFmtId="174" fontId="12" fillId="4" borderId="41" xfId="0" applyNumberFormat="1" applyFont="1" applyFill="1" applyBorder="1" applyAlignment="1">
      <alignment horizontal="center"/>
    </xf>
    <xf numFmtId="2" fontId="9" fillId="4" borderId="64" xfId="0" applyNumberFormat="1" applyFont="1" applyFill="1" applyBorder="1" applyAlignment="1">
      <alignment horizontal="center"/>
    </xf>
    <xf numFmtId="49" fontId="9" fillId="4" borderId="86" xfId="0" applyNumberFormat="1" applyFont="1" applyFill="1" applyBorder="1" applyAlignment="1"/>
    <xf numFmtId="174" fontId="12" fillId="4" borderId="87" xfId="0" applyNumberFormat="1" applyFont="1" applyFill="1" applyBorder="1" applyAlignment="1">
      <alignment horizontal="center"/>
    </xf>
    <xf numFmtId="0" fontId="12" fillId="4" borderId="88" xfId="0" applyFont="1" applyFill="1" applyBorder="1" applyAlignment="1"/>
    <xf numFmtId="174" fontId="12" fillId="4" borderId="44" xfId="0" applyNumberFormat="1" applyFont="1" applyFill="1" applyBorder="1" applyAlignment="1">
      <alignment horizontal="center"/>
    </xf>
    <xf numFmtId="174" fontId="9" fillId="4" borderId="81" xfId="0" applyNumberFormat="1" applyFont="1" applyFill="1" applyBorder="1" applyAlignment="1">
      <alignment horizontal="center"/>
    </xf>
    <xf numFmtId="49" fontId="12" fillId="4" borderId="53" xfId="0" applyNumberFormat="1" applyFont="1" applyFill="1" applyBorder="1" applyAlignment="1"/>
    <xf numFmtId="174" fontId="12" fillId="4" borderId="53" xfId="0" applyNumberFormat="1" applyFont="1" applyFill="1" applyBorder="1" applyAlignment="1"/>
    <xf numFmtId="1" fontId="12" fillId="4" borderId="65" xfId="0" applyNumberFormat="1" applyFont="1" applyFill="1" applyBorder="1" applyAlignment="1"/>
    <xf numFmtId="1" fontId="9" fillId="4" borderId="65" xfId="0" applyNumberFormat="1" applyFont="1" applyFill="1" applyBorder="1" applyAlignment="1"/>
    <xf numFmtId="1" fontId="9" fillId="4" borderId="53" xfId="0" applyNumberFormat="1" applyFont="1" applyFill="1" applyBorder="1" applyAlignment="1"/>
    <xf numFmtId="49" fontId="9" fillId="8" borderId="34" xfId="0" applyNumberFormat="1" applyFont="1" applyFill="1" applyBorder="1" applyAlignment="1">
      <alignment vertical="center"/>
    </xf>
    <xf numFmtId="174" fontId="9" fillId="8" borderId="34" xfId="0" applyNumberFormat="1" applyFont="1" applyFill="1" applyBorder="1" applyAlignment="1">
      <alignment vertical="center"/>
    </xf>
    <xf numFmtId="174" fontId="9" fillId="8" borderId="49" xfId="0" applyNumberFormat="1" applyFont="1" applyFill="1" applyBorder="1" applyAlignment="1">
      <alignment vertical="center"/>
    </xf>
    <xf numFmtId="174" fontId="9" fillId="8" borderId="51" xfId="0" applyNumberFormat="1" applyFont="1" applyFill="1" applyBorder="1" applyAlignment="1">
      <alignment vertical="center"/>
    </xf>
    <xf numFmtId="49" fontId="9" fillId="8" borderId="63" xfId="0" applyNumberFormat="1" applyFont="1" applyFill="1" applyBorder="1" applyAlignment="1">
      <alignment horizontal="center"/>
    </xf>
    <xf numFmtId="49" fontId="9" fillId="8" borderId="41" xfId="0" applyNumberFormat="1" applyFont="1" applyFill="1" applyBorder="1" applyAlignment="1">
      <alignment horizontal="center"/>
    </xf>
    <xf numFmtId="49" fontId="9" fillId="8" borderId="89" xfId="0" applyNumberFormat="1" applyFont="1" applyFill="1" applyBorder="1" applyAlignment="1">
      <alignment horizontal="center"/>
    </xf>
    <xf numFmtId="9" fontId="12" fillId="8" borderId="57" xfId="0" applyNumberFormat="1" applyFont="1" applyFill="1" applyBorder="1" applyAlignment="1">
      <alignment horizontal="left"/>
    </xf>
    <xf numFmtId="174" fontId="9" fillId="4" borderId="33" xfId="0" applyNumberFormat="1" applyFont="1" applyFill="1" applyBorder="1" applyAlignment="1">
      <alignment horizontal="center"/>
    </xf>
    <xf numFmtId="0" fontId="12" fillId="4" borderId="58" xfId="0" applyFont="1" applyFill="1" applyBorder="1" applyAlignment="1"/>
    <xf numFmtId="0" fontId="12" fillId="4" borderId="47" xfId="0" applyFont="1" applyFill="1" applyBorder="1" applyAlignment="1"/>
    <xf numFmtId="0" fontId="12" fillId="4" borderId="90" xfId="0" applyFont="1" applyFill="1" applyBorder="1" applyAlignment="1">
      <alignment horizontal="right"/>
    </xf>
    <xf numFmtId="0" fontId="12" fillId="4" borderId="91" xfId="0" applyFont="1" applyFill="1" applyBorder="1" applyAlignment="1"/>
    <xf numFmtId="174" fontId="9" fillId="4" borderId="35" xfId="0" applyNumberFormat="1" applyFont="1" applyFill="1" applyBorder="1" applyAlignment="1">
      <alignment horizontal="center"/>
    </xf>
    <xf numFmtId="9" fontId="12" fillId="4" borderId="17" xfId="0" applyNumberFormat="1" applyFont="1" applyFill="1" applyBorder="1" applyAlignment="1"/>
    <xf numFmtId="1" fontId="12" fillId="4" borderId="92" xfId="0" applyNumberFormat="1" applyFont="1" applyFill="1" applyBorder="1" applyAlignment="1">
      <alignment horizontal="right"/>
    </xf>
    <xf numFmtId="1" fontId="12" fillId="4" borderId="93" xfId="0" applyNumberFormat="1" applyFont="1" applyFill="1" applyBorder="1" applyAlignment="1"/>
    <xf numFmtId="0" fontId="12" fillId="4" borderId="93" xfId="0" applyFont="1" applyFill="1" applyBorder="1" applyAlignment="1"/>
    <xf numFmtId="9" fontId="12" fillId="4" borderId="41" xfId="0" applyNumberFormat="1" applyFont="1" applyFill="1" applyBorder="1" applyAlignment="1"/>
    <xf numFmtId="1" fontId="12" fillId="4" borderId="94" xfId="0" applyNumberFormat="1" applyFont="1" applyFill="1" applyBorder="1" applyAlignment="1">
      <alignment horizontal="right"/>
    </xf>
    <xf numFmtId="0" fontId="12" fillId="4" borderId="95" xfId="0" applyFont="1" applyFill="1" applyBorder="1" applyAlignment="1"/>
    <xf numFmtId="0" fontId="12" fillId="4" borderId="82" xfId="0" applyFont="1" applyFill="1" applyBorder="1" applyAlignment="1"/>
    <xf numFmtId="1" fontId="12" fillId="4" borderId="65" xfId="0" applyNumberFormat="1" applyFont="1" applyFill="1" applyBorder="1" applyAlignment="1">
      <alignment horizontal="right"/>
    </xf>
    <xf numFmtId="0" fontId="12" fillId="4" borderId="83" xfId="0" applyFont="1" applyFill="1" applyBorder="1" applyAlignment="1"/>
    <xf numFmtId="0" fontId="12" fillId="4" borderId="96" xfId="0" applyFont="1" applyFill="1" applyBorder="1" applyAlignment="1"/>
    <xf numFmtId="0" fontId="12" fillId="4" borderId="97" xfId="0" applyFont="1" applyFill="1" applyBorder="1" applyAlignment="1"/>
    <xf numFmtId="0" fontId="12" fillId="4" borderId="98" xfId="0" applyFont="1" applyFill="1" applyBorder="1" applyAlignment="1"/>
    <xf numFmtId="49" fontId="12" fillId="4" borderId="58" xfId="0" applyNumberFormat="1" applyFont="1" applyFill="1" applyBorder="1" applyAlignment="1"/>
    <xf numFmtId="9" fontId="12" fillId="4" borderId="47" xfId="0" applyNumberFormat="1" applyFont="1" applyFill="1" applyBorder="1" applyAlignment="1"/>
    <xf numFmtId="1" fontId="12" fillId="4" borderId="90" xfId="0" applyNumberFormat="1" applyFont="1" applyFill="1" applyBorder="1" applyAlignment="1">
      <alignment horizontal="left"/>
    </xf>
    <xf numFmtId="1" fontId="12" fillId="4" borderId="92" xfId="0" applyNumberFormat="1" applyFont="1" applyFill="1" applyBorder="1" applyAlignment="1">
      <alignment horizontal="left"/>
    </xf>
    <xf numFmtId="174" fontId="9" fillId="4" borderId="64" xfId="0" applyNumberFormat="1" applyFont="1" applyFill="1" applyBorder="1" applyAlignment="1">
      <alignment horizontal="center"/>
    </xf>
    <xf numFmtId="0" fontId="12" fillId="4" borderId="99" xfId="0" applyFont="1" applyFill="1" applyBorder="1" applyAlignment="1"/>
    <xf numFmtId="172" fontId="12" fillId="4" borderId="100" xfId="0" applyNumberFormat="1" applyFont="1" applyFill="1" applyBorder="1" applyAlignment="1"/>
    <xf numFmtId="1" fontId="12" fillId="4" borderId="100" xfId="0" applyNumberFormat="1" applyFont="1" applyFill="1" applyBorder="1" applyAlignment="1"/>
    <xf numFmtId="173" fontId="12" fillId="4" borderId="87" xfId="0" applyNumberFormat="1" applyFont="1" applyFill="1" applyBorder="1" applyAlignment="1">
      <alignment horizontal="center"/>
    </xf>
    <xf numFmtId="0" fontId="12" fillId="4" borderId="87" xfId="0" applyFont="1" applyFill="1" applyBorder="1" applyAlignment="1"/>
    <xf numFmtId="174" fontId="12" fillId="4" borderId="88" xfId="0" applyNumberFormat="1" applyFont="1" applyFill="1" applyBorder="1" applyAlignment="1">
      <alignment horizontal="center"/>
    </xf>
    <xf numFmtId="49" fontId="12" fillId="4" borderId="86" xfId="0" applyNumberFormat="1" applyFont="1" applyFill="1" applyBorder="1" applyAlignment="1"/>
    <xf numFmtId="172" fontId="12" fillId="4" borderId="87" xfId="0" applyNumberFormat="1" applyFont="1" applyFill="1" applyBorder="1" applyAlignment="1"/>
    <xf numFmtId="1" fontId="12" fillId="4" borderId="87" xfId="0" applyNumberFormat="1" applyFont="1" applyFill="1" applyBorder="1" applyAlignment="1"/>
    <xf numFmtId="0" fontId="12" fillId="4" borderId="101" xfId="0" applyFont="1" applyFill="1" applyBorder="1" applyAlignment="1"/>
    <xf numFmtId="170" fontId="9" fillId="4" borderId="65" xfId="0" applyNumberFormat="1" applyFont="1" applyFill="1" applyBorder="1" applyAlignment="1"/>
    <xf numFmtId="173" fontId="12" fillId="4" borderId="65" xfId="0" applyNumberFormat="1" applyFont="1" applyFill="1" applyBorder="1" applyAlignment="1">
      <alignment horizontal="center"/>
    </xf>
    <xf numFmtId="174" fontId="12" fillId="4" borderId="65" xfId="0" applyNumberFormat="1" applyFont="1" applyFill="1" applyBorder="1" applyAlignment="1">
      <alignment horizontal="center"/>
    </xf>
    <xf numFmtId="174" fontId="9" fillId="4" borderId="65" xfId="0" applyNumberFormat="1" applyFont="1" applyFill="1" applyBorder="1" applyAlignment="1">
      <alignment horizontal="center"/>
    </xf>
    <xf numFmtId="172" fontId="12" fillId="4" borderId="65" xfId="0" applyNumberFormat="1" applyFont="1" applyFill="1" applyBorder="1" applyAlignment="1"/>
    <xf numFmtId="170" fontId="9" fillId="4" borderId="66" xfId="0" applyNumberFormat="1" applyFont="1" applyFill="1" applyBorder="1" applyAlignment="1"/>
    <xf numFmtId="49" fontId="9" fillId="8" borderId="49" xfId="0" applyNumberFormat="1" applyFont="1" applyFill="1" applyBorder="1" applyAlignment="1">
      <alignment horizontal="left" vertical="center" wrapText="1"/>
    </xf>
    <xf numFmtId="170" fontId="9" fillId="8" borderId="50" xfId="0" applyNumberFormat="1" applyFont="1" applyFill="1" applyBorder="1" applyAlignment="1">
      <alignment horizontal="center" vertical="center" wrapText="1"/>
    </xf>
    <xf numFmtId="170" fontId="9" fillId="8" borderId="102" xfId="0" applyNumberFormat="1" applyFont="1" applyFill="1" applyBorder="1" applyAlignment="1">
      <alignment horizontal="center" vertical="center" wrapText="1"/>
    </xf>
    <xf numFmtId="49" fontId="9" fillId="8" borderId="55" xfId="0" applyNumberFormat="1" applyFont="1" applyFill="1" applyBorder="1" applyAlignment="1">
      <alignment horizontal="left" vertical="center" wrapText="1"/>
    </xf>
    <xf numFmtId="170" fontId="9" fillId="8" borderId="56" xfId="0" applyNumberFormat="1" applyFont="1" applyFill="1" applyBorder="1" applyAlignment="1">
      <alignment horizontal="center" vertical="center" wrapText="1"/>
    </xf>
    <xf numFmtId="170" fontId="9" fillId="8" borderId="103" xfId="0" applyNumberFormat="1" applyFont="1" applyFill="1" applyBorder="1" applyAlignment="1">
      <alignment horizontal="center" vertical="center" wrapText="1"/>
    </xf>
    <xf numFmtId="49" fontId="9" fillId="4" borderId="86" xfId="0" applyNumberFormat="1" applyFont="1" applyFill="1" applyBorder="1" applyAlignment="1">
      <alignment horizontal="left"/>
    </xf>
    <xf numFmtId="173" fontId="13" fillId="4" borderId="87" xfId="0" applyNumberFormat="1" applyFont="1" applyFill="1" applyBorder="1" applyAlignment="1">
      <alignment horizontal="center"/>
    </xf>
    <xf numFmtId="170" fontId="13" fillId="4" borderId="87" xfId="0" applyNumberFormat="1" applyFont="1" applyFill="1" applyBorder="1" applyAlignment="1">
      <alignment horizontal="center"/>
    </xf>
    <xf numFmtId="171" fontId="13" fillId="4" borderId="87" xfId="0" applyNumberFormat="1" applyFont="1" applyFill="1" applyBorder="1" applyAlignment="1">
      <alignment horizontal="center"/>
    </xf>
    <xf numFmtId="173" fontId="13" fillId="4" borderId="88" xfId="0" applyNumberFormat="1" applyFont="1" applyFill="1" applyBorder="1" applyAlignment="1">
      <alignment horizontal="center"/>
    </xf>
    <xf numFmtId="172" fontId="12" fillId="4" borderId="52" xfId="0" applyNumberFormat="1" applyFont="1" applyFill="1" applyBorder="1" applyAlignment="1"/>
    <xf numFmtId="175" fontId="12" fillId="4" borderId="53" xfId="0" applyNumberFormat="1" applyFont="1" applyFill="1" applyBorder="1" applyAlignment="1"/>
    <xf numFmtId="171" fontId="9" fillId="4" borderId="65" xfId="0" applyNumberFormat="1" applyFont="1" applyFill="1" applyBorder="1" applyAlignment="1">
      <alignment horizontal="left"/>
    </xf>
    <xf numFmtId="173" fontId="13" fillId="4" borderId="65" xfId="0" applyNumberFormat="1" applyFont="1" applyFill="1" applyBorder="1" applyAlignment="1">
      <alignment horizontal="center"/>
    </xf>
    <xf numFmtId="170" fontId="13" fillId="4" borderId="65" xfId="0" applyNumberFormat="1" applyFont="1" applyFill="1" applyBorder="1" applyAlignment="1">
      <alignment horizontal="center"/>
    </xf>
    <xf numFmtId="171" fontId="13" fillId="4" borderId="65" xfId="0" applyNumberFormat="1" applyFont="1" applyFill="1" applyBorder="1" applyAlignment="1">
      <alignment horizontal="center"/>
    </xf>
    <xf numFmtId="170" fontId="9" fillId="4" borderId="53" xfId="0" applyNumberFormat="1" applyFont="1" applyFill="1" applyBorder="1" applyAlignment="1"/>
    <xf numFmtId="172" fontId="12" fillId="4" borderId="66" xfId="0" applyNumberFormat="1" applyFont="1" applyFill="1" applyBorder="1" applyAlignment="1"/>
    <xf numFmtId="170" fontId="9" fillId="4" borderId="52" xfId="0" applyNumberFormat="1" applyFont="1" applyFill="1" applyBorder="1" applyAlignment="1">
      <alignment horizontal="center" vertical="center" wrapText="1"/>
    </xf>
    <xf numFmtId="170" fontId="9" fillId="4" borderId="52" xfId="0" applyNumberFormat="1" applyFont="1" applyFill="1" applyBorder="1" applyAlignment="1">
      <alignment horizontal="center"/>
    </xf>
    <xf numFmtId="170" fontId="13" fillId="4" borderId="47" xfId="0" applyNumberFormat="1" applyFont="1" applyFill="1" applyBorder="1" applyAlignment="1">
      <alignment horizontal="center"/>
    </xf>
    <xf numFmtId="170" fontId="13" fillId="4" borderId="58" xfId="0" applyNumberFormat="1" applyFont="1" applyFill="1" applyBorder="1" applyAlignment="1">
      <alignment horizontal="center"/>
    </xf>
    <xf numFmtId="174" fontId="9" fillId="4" borderId="52" xfId="0" applyNumberFormat="1" applyFont="1" applyFill="1" applyBorder="1" applyAlignment="1">
      <alignment horizontal="center"/>
    </xf>
    <xf numFmtId="170" fontId="13" fillId="4" borderId="60" xfId="0" applyNumberFormat="1" applyFont="1" applyFill="1" applyBorder="1" applyAlignment="1">
      <alignment horizontal="center"/>
    </xf>
    <xf numFmtId="170" fontId="13" fillId="4" borderId="41" xfId="0" applyNumberFormat="1" applyFont="1" applyFill="1" applyBorder="1" applyAlignment="1">
      <alignment horizontal="center"/>
    </xf>
    <xf numFmtId="170" fontId="13" fillId="4" borderId="63" xfId="0" applyNumberFormat="1" applyFont="1" applyFill="1" applyBorder="1" applyAlignment="1">
      <alignment horizontal="center"/>
    </xf>
    <xf numFmtId="172" fontId="12" fillId="4" borderId="80" xfId="0" applyNumberFormat="1" applyFont="1" applyFill="1" applyBorder="1" applyAlignment="1"/>
    <xf numFmtId="170" fontId="9" fillId="4" borderId="86" xfId="0" applyNumberFormat="1" applyFont="1" applyFill="1" applyBorder="1" applyAlignment="1"/>
    <xf numFmtId="49" fontId="12" fillId="4" borderId="87" xfId="0" applyNumberFormat="1" applyFont="1" applyFill="1" applyBorder="1" applyAlignment="1">
      <alignment horizontal="center"/>
    </xf>
    <xf numFmtId="49" fontId="12" fillId="4" borderId="80" xfId="0" applyNumberFormat="1" applyFont="1" applyFill="1" applyBorder="1" applyAlignment="1">
      <alignment horizontal="center"/>
    </xf>
    <xf numFmtId="49" fontId="12" fillId="4" borderId="104" xfId="0" applyNumberFormat="1" applyFont="1" applyFill="1" applyBorder="1" applyAlignment="1"/>
    <xf numFmtId="173" fontId="12" fillId="4" borderId="105" xfId="0" applyNumberFormat="1" applyFont="1" applyFill="1" applyBorder="1" applyAlignment="1">
      <alignment horizontal="center"/>
    </xf>
    <xf numFmtId="9" fontId="13" fillId="8" borderId="47" xfId="0" applyNumberFormat="1" applyFont="1" applyFill="1" applyBorder="1" applyAlignment="1">
      <alignment horizontal="center"/>
    </xf>
    <xf numFmtId="9" fontId="13" fillId="8" borderId="58" xfId="0" applyNumberFormat="1" applyFont="1" applyFill="1" applyBorder="1" applyAlignment="1">
      <alignment horizontal="center"/>
    </xf>
    <xf numFmtId="49" fontId="12" fillId="4" borderId="106" xfId="0" applyNumberFormat="1" applyFont="1" applyFill="1" applyBorder="1" applyAlignment="1"/>
    <xf numFmtId="173" fontId="12" fillId="4" borderId="107" xfId="0" applyNumberFormat="1" applyFont="1" applyFill="1" applyBorder="1" applyAlignment="1">
      <alignment horizontal="center"/>
    </xf>
    <xf numFmtId="9" fontId="13" fillId="8" borderId="17" xfId="0" applyNumberFormat="1" applyFont="1" applyFill="1" applyBorder="1" applyAlignment="1">
      <alignment horizontal="center"/>
    </xf>
    <xf numFmtId="9" fontId="13" fillId="8" borderId="60" xfId="0" applyNumberFormat="1" applyFont="1" applyFill="1" applyBorder="1" applyAlignment="1">
      <alignment horizontal="center"/>
    </xf>
    <xf numFmtId="49" fontId="12" fillId="4" borderId="99" xfId="0" applyNumberFormat="1" applyFont="1" applyFill="1" applyBorder="1" applyAlignment="1"/>
    <xf numFmtId="173" fontId="12" fillId="4" borderId="108" xfId="0" applyNumberFormat="1" applyFont="1" applyFill="1" applyBorder="1" applyAlignment="1">
      <alignment horizontal="center"/>
    </xf>
    <xf numFmtId="9" fontId="13" fillId="8" borderId="41" xfId="0" applyNumberFormat="1" applyFont="1" applyFill="1" applyBorder="1" applyAlignment="1">
      <alignment horizontal="center"/>
    </xf>
    <xf numFmtId="9" fontId="13" fillId="8" borderId="63" xfId="0" applyNumberFormat="1" applyFont="1" applyFill="1" applyBorder="1" applyAlignment="1">
      <alignment horizontal="center"/>
    </xf>
    <xf numFmtId="173" fontId="12" fillId="4" borderId="88" xfId="0" applyNumberFormat="1" applyFont="1" applyFill="1" applyBorder="1" applyAlignment="1">
      <alignment horizontal="center"/>
    </xf>
    <xf numFmtId="171" fontId="12" fillId="4" borderId="44" xfId="0" applyNumberFormat="1" applyFont="1" applyFill="1" applyBorder="1" applyAlignment="1">
      <alignment horizontal="center"/>
    </xf>
    <xf numFmtId="174" fontId="9" fillId="4" borderId="44" xfId="0" applyNumberFormat="1" applyFont="1" applyFill="1" applyBorder="1" applyAlignment="1">
      <alignment horizontal="center"/>
    </xf>
    <xf numFmtId="171" fontId="12" fillId="4" borderId="65" xfId="0" applyNumberFormat="1" applyFont="1" applyFill="1" applyBorder="1" applyAlignment="1">
      <alignment horizontal="center"/>
    </xf>
    <xf numFmtId="170" fontId="12" fillId="4" borderId="104" xfId="0" applyNumberFormat="1" applyFont="1" applyFill="1" applyBorder="1" applyAlignment="1"/>
    <xf numFmtId="49" fontId="9" fillId="8" borderId="47" xfId="0" applyNumberFormat="1" applyFont="1" applyFill="1" applyBorder="1" applyAlignment="1">
      <alignment horizontal="center"/>
    </xf>
    <xf numFmtId="174" fontId="9" fillId="8" borderId="47" xfId="0" applyNumberFormat="1" applyFont="1" applyFill="1" applyBorder="1" applyAlignment="1">
      <alignment horizontal="center"/>
    </xf>
    <xf numFmtId="49" fontId="9" fillId="8" borderId="33" xfId="0" applyNumberFormat="1" applyFont="1" applyFill="1" applyBorder="1" applyAlignment="1">
      <alignment horizontal="center"/>
    </xf>
    <xf numFmtId="173" fontId="12" fillId="4" borderId="109" xfId="0" applyNumberFormat="1" applyFont="1" applyFill="1" applyBorder="1" applyAlignment="1">
      <alignment horizontal="center"/>
    </xf>
    <xf numFmtId="172" fontId="9" fillId="4" borderId="109" xfId="0" applyNumberFormat="1" applyFont="1" applyFill="1" applyBorder="1" applyAlignment="1">
      <alignment horizontal="left"/>
    </xf>
    <xf numFmtId="174" fontId="12" fillId="4" borderId="107" xfId="0" applyNumberFormat="1" applyFont="1" applyFill="1" applyBorder="1" applyAlignment="1">
      <alignment horizontal="center"/>
    </xf>
    <xf numFmtId="0" fontId="12" fillId="4" borderId="53" xfId="0" applyNumberFormat="1" applyFont="1" applyFill="1" applyBorder="1" applyAlignment="1"/>
    <xf numFmtId="173" fontId="12" fillId="4" borderId="100" xfId="0" applyNumberFormat="1" applyFont="1" applyFill="1" applyBorder="1" applyAlignment="1">
      <alignment horizontal="center"/>
    </xf>
    <xf numFmtId="172" fontId="9" fillId="4" borderId="100" xfId="0" applyNumberFormat="1" applyFont="1" applyFill="1" applyBorder="1" applyAlignment="1">
      <alignment horizontal="left"/>
    </xf>
    <xf numFmtId="174" fontId="12" fillId="4" borderId="108" xfId="0" applyNumberFormat="1" applyFont="1" applyFill="1" applyBorder="1" applyAlignment="1">
      <alignment horizontal="center"/>
    </xf>
    <xf numFmtId="49" fontId="16" fillId="4" borderId="65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4" fillId="4" borderId="5" xfId="0" applyNumberFormat="1" applyFont="1" applyFill="1" applyBorder="1" applyAlignment="1">
      <alignment horizontal="center" wrapText="1"/>
    </xf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49" fontId="5" fillId="4" borderId="10" xfId="0" applyNumberFormat="1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 wrapText="1"/>
    </xf>
    <xf numFmtId="164" fontId="5" fillId="4" borderId="8" xfId="0" applyNumberFormat="1" applyFont="1" applyFill="1" applyBorder="1" applyAlignment="1">
      <alignment horizontal="right"/>
    </xf>
    <xf numFmtId="0" fontId="0" fillId="4" borderId="9" xfId="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left" vertical="center"/>
    </xf>
    <xf numFmtId="4" fontId="5" fillId="4" borderId="11" xfId="0" applyNumberFormat="1" applyFont="1" applyFill="1" applyBorder="1" applyAlignment="1">
      <alignment horizontal="left" vertical="center"/>
    </xf>
    <xf numFmtId="4" fontId="5" fillId="4" borderId="12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 wrapText="1"/>
    </xf>
    <xf numFmtId="0" fontId="0" fillId="4" borderId="19" xfId="0" applyFont="1" applyFill="1" applyBorder="1" applyAlignment="1"/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0" fillId="4" borderId="8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horizontal="center"/>
    </xf>
    <xf numFmtId="49" fontId="5" fillId="4" borderId="17" xfId="0" applyNumberFormat="1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0" fillId="4" borderId="19" xfId="0" applyFont="1" applyFill="1" applyBorder="1" applyAlignment="1">
      <alignment horizontal="justify" wrapText="1"/>
    </xf>
    <xf numFmtId="49" fontId="5" fillId="4" borderId="10" xfId="0" applyNumberFormat="1" applyFont="1" applyFill="1" applyBorder="1" applyAlignment="1">
      <alignment horizontal="left" wrapText="1"/>
    </xf>
    <xf numFmtId="0" fontId="0" fillId="4" borderId="12" xfId="0" applyFont="1" applyFill="1" applyBorder="1" applyAlignment="1"/>
    <xf numFmtId="49" fontId="0" fillId="4" borderId="45" xfId="0" applyNumberFormat="1" applyFont="1" applyFill="1" applyBorder="1" applyAlignment="1">
      <alignment horizontal="left"/>
    </xf>
    <xf numFmtId="0" fontId="0" fillId="4" borderId="46" xfId="0" applyFont="1" applyFill="1" applyBorder="1" applyAlignment="1">
      <alignment horizontal="left"/>
    </xf>
    <xf numFmtId="49" fontId="5" fillId="4" borderId="39" xfId="0" applyNumberFormat="1" applyFont="1" applyFill="1" applyBorder="1" applyAlignment="1">
      <alignment horizontal="left" wrapText="1"/>
    </xf>
    <xf numFmtId="0" fontId="5" fillId="4" borderId="40" xfId="0" applyFont="1" applyFill="1" applyBorder="1" applyAlignment="1">
      <alignment horizontal="left" wrapText="1"/>
    </xf>
    <xf numFmtId="49" fontId="0" fillId="4" borderId="45" xfId="0" applyNumberFormat="1" applyFont="1" applyFill="1" applyBorder="1" applyAlignment="1">
      <alignment horizontal="left" wrapText="1"/>
    </xf>
    <xf numFmtId="0" fontId="0" fillId="4" borderId="46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49" fontId="11" fillId="8" borderId="61" xfId="0" applyNumberFormat="1" applyFont="1" applyFill="1" applyBorder="1" applyAlignment="1">
      <alignment horizontal="center"/>
    </xf>
    <xf numFmtId="0" fontId="11" fillId="8" borderId="62" xfId="0" applyFont="1" applyFill="1" applyBorder="1" applyAlignment="1">
      <alignment horizontal="center"/>
    </xf>
    <xf numFmtId="49" fontId="8" fillId="8" borderId="49" xfId="0" applyNumberFormat="1" applyFont="1" applyFill="1" applyBorder="1" applyAlignment="1">
      <alignment horizontal="center"/>
    </xf>
    <xf numFmtId="0" fontId="8" fillId="8" borderId="50" xfId="0" applyFont="1" applyFill="1" applyBorder="1" applyAlignment="1">
      <alignment horizontal="center"/>
    </xf>
    <xf numFmtId="0" fontId="8" fillId="8" borderId="51" xfId="0" applyFont="1" applyFill="1" applyBorder="1" applyAlignment="1">
      <alignment horizontal="center"/>
    </xf>
    <xf numFmtId="49" fontId="10" fillId="8" borderId="59" xfId="0" applyNumberFormat="1" applyFont="1" applyFill="1" applyBorder="1" applyAlignment="1">
      <alignment horizontal="center"/>
    </xf>
    <xf numFmtId="0" fontId="10" fillId="8" borderId="51" xfId="0" applyFont="1" applyFill="1" applyBorder="1" applyAlignment="1">
      <alignment horizontal="center"/>
    </xf>
    <xf numFmtId="49" fontId="5" fillId="4" borderId="110" xfId="0" applyNumberFormat="1" applyFont="1" applyFill="1" applyBorder="1" applyAlignment="1">
      <alignment horizontal="left" vertical="center" wrapText="1"/>
    </xf>
    <xf numFmtId="0" fontId="0" fillId="4" borderId="111" xfId="0" applyFont="1" applyFill="1" applyBorder="1" applyAlignment="1"/>
    <xf numFmtId="0" fontId="5" fillId="4" borderId="111" xfId="0" applyFont="1" applyFill="1" applyBorder="1" applyAlignment="1">
      <alignment horizontal="left" vertical="center" wrapText="1"/>
    </xf>
    <xf numFmtId="0" fontId="5" fillId="4" borderId="112" xfId="0" applyFont="1" applyFill="1" applyBorder="1" applyAlignment="1">
      <alignment horizontal="left" vertical="center" wrapText="1"/>
    </xf>
    <xf numFmtId="164" fontId="0" fillId="4" borderId="113" xfId="0" applyNumberFormat="1" applyFont="1" applyFill="1" applyBorder="1" applyAlignment="1"/>
    <xf numFmtId="0" fontId="0" fillId="4" borderId="114" xfId="0" applyFont="1" applyFill="1" applyBorder="1" applyAlignment="1">
      <alignment horizontal="center" vertical="center"/>
    </xf>
    <xf numFmtId="0" fontId="5" fillId="4" borderId="114" xfId="0" applyFont="1" applyFill="1" applyBorder="1" applyAlignment="1">
      <alignment horizontal="left" vertical="center"/>
    </xf>
    <xf numFmtId="4" fontId="0" fillId="4" borderId="114" xfId="0" applyNumberFormat="1" applyFont="1" applyFill="1" applyBorder="1" applyAlignment="1">
      <alignment horizontal="right" vertical="center"/>
    </xf>
    <xf numFmtId="49" fontId="0" fillId="4" borderId="61" xfId="0" applyNumberFormat="1" applyFont="1" applyFill="1" applyBorder="1" applyAlignment="1">
      <alignment horizontal="left" vertical="center"/>
    </xf>
    <xf numFmtId="49" fontId="0" fillId="4" borderId="11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FF0000"/>
      <rgbColor rgb="FFFFFF00"/>
      <rgbColor rgb="FFFFFF99"/>
      <rgbColor rgb="FFC0C0C0"/>
      <rgbColor rgb="FF3333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49526</xdr:rowOff>
    </xdr:from>
    <xdr:to>
      <xdr:col>5</xdr:col>
      <xdr:colOff>489502</xdr:colOff>
      <xdr:row>6</xdr:row>
      <xdr:rowOff>92071</xdr:rowOff>
    </xdr:to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7073705" y="935351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374441</xdr:colOff>
      <xdr:row>9</xdr:row>
      <xdr:rowOff>146682</xdr:rowOff>
    </xdr:from>
    <xdr:to>
      <xdr:col>5</xdr:col>
      <xdr:colOff>546719</xdr:colOff>
      <xdr:row>11</xdr:row>
      <xdr:rowOff>27302</xdr:rowOff>
    </xdr:to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7130841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75" name="Shape 75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76" name="Shape 76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77" name="Shape 77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78" name="Shape 78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79" name="Shape 79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80" name="Shape 80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81" name="Shape 8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82" name="Shape 82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40001</xdr:rowOff>
    </xdr:from>
    <xdr:to>
      <xdr:col>5</xdr:col>
      <xdr:colOff>489502</xdr:colOff>
      <xdr:row>6</xdr:row>
      <xdr:rowOff>82546</xdr:rowOff>
    </xdr:to>
    <xdr:sp macro="" textlink="">
      <xdr:nvSpPr>
        <xdr:cNvPr id="83" name="Shape 83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/>
      </xdr:nvSpPr>
      <xdr:spPr>
        <a:xfrm>
          <a:off x="7073705" y="925826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84" name="Shape 84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364916</xdr:colOff>
      <xdr:row>9</xdr:row>
      <xdr:rowOff>146682</xdr:rowOff>
    </xdr:from>
    <xdr:to>
      <xdr:col>5</xdr:col>
      <xdr:colOff>537194</xdr:colOff>
      <xdr:row>11</xdr:row>
      <xdr:rowOff>27302</xdr:rowOff>
    </xdr:to>
    <xdr:sp macro="" textlink="">
      <xdr:nvSpPr>
        <xdr:cNvPr id="85" name="Shape 85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/>
      </xdr:nvSpPr>
      <xdr:spPr>
        <a:xfrm>
          <a:off x="7121316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86" name="Shape 86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87" name="Shape 87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88" name="Shape 88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89" name="Shape 89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90" name="Shape 90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91" name="Shape 9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92" name="Shape 92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93" name="Shape 93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94" name="Shape 94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</xdr:row>
      <xdr:rowOff>28574</xdr:rowOff>
    </xdr:from>
    <xdr:to>
      <xdr:col>7</xdr:col>
      <xdr:colOff>123824</xdr:colOff>
      <xdr:row>8</xdr:row>
      <xdr:rowOff>28574</xdr:rowOff>
    </xdr:to>
    <xdr:sp macro="" textlink="">
      <xdr:nvSpPr>
        <xdr:cNvPr id="97" name="Shape 97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/>
      </xdr:nvSpPr>
      <xdr:spPr>
        <a:xfrm>
          <a:off x="5819773" y="257174"/>
          <a:ext cx="2686052" cy="11430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3305"/>
              </a:moveTo>
              <a:lnTo>
                <a:pt x="0" y="21600"/>
              </a:lnTo>
              <a:lnTo>
                <a:pt x="21600" y="21600"/>
              </a:lnTo>
              <a:lnTo>
                <a:pt x="21600" y="3305"/>
              </a:lnTo>
              <a:lnTo>
                <a:pt x="20960" y="2932"/>
              </a:lnTo>
              <a:lnTo>
                <a:pt x="20317" y="2584"/>
              </a:lnTo>
              <a:lnTo>
                <a:pt x="19666" y="2255"/>
              </a:lnTo>
              <a:lnTo>
                <a:pt x="19014" y="1944"/>
              </a:lnTo>
              <a:lnTo>
                <a:pt x="18356" y="1656"/>
              </a:lnTo>
              <a:lnTo>
                <a:pt x="17694" y="1392"/>
              </a:lnTo>
              <a:lnTo>
                <a:pt x="17028" y="1145"/>
              </a:lnTo>
              <a:lnTo>
                <a:pt x="16359" y="924"/>
              </a:lnTo>
              <a:lnTo>
                <a:pt x="15688" y="728"/>
              </a:lnTo>
              <a:lnTo>
                <a:pt x="15011" y="552"/>
              </a:lnTo>
              <a:lnTo>
                <a:pt x="14334" y="400"/>
              </a:lnTo>
              <a:lnTo>
                <a:pt x="13654" y="268"/>
              </a:lnTo>
              <a:lnTo>
                <a:pt x="12971" y="166"/>
              </a:lnTo>
              <a:lnTo>
                <a:pt x="12288" y="88"/>
              </a:lnTo>
              <a:lnTo>
                <a:pt x="11603" y="34"/>
              </a:lnTo>
              <a:lnTo>
                <a:pt x="10917" y="3"/>
              </a:lnTo>
              <a:lnTo>
                <a:pt x="10229" y="0"/>
              </a:lnTo>
              <a:lnTo>
                <a:pt x="9540" y="24"/>
              </a:lnTo>
              <a:lnTo>
                <a:pt x="8852" y="74"/>
              </a:lnTo>
              <a:lnTo>
                <a:pt x="8164" y="149"/>
              </a:lnTo>
              <a:lnTo>
                <a:pt x="7476" y="254"/>
              </a:lnTo>
              <a:lnTo>
                <a:pt x="6788" y="389"/>
              </a:lnTo>
              <a:lnTo>
                <a:pt x="6101" y="549"/>
              </a:lnTo>
              <a:lnTo>
                <a:pt x="5416" y="735"/>
              </a:lnTo>
              <a:lnTo>
                <a:pt x="4730" y="951"/>
              </a:lnTo>
              <a:lnTo>
                <a:pt x="4048" y="1195"/>
              </a:lnTo>
              <a:lnTo>
                <a:pt x="3366" y="1473"/>
              </a:lnTo>
              <a:lnTo>
                <a:pt x="2688" y="1778"/>
              </a:lnTo>
              <a:lnTo>
                <a:pt x="2012" y="2113"/>
              </a:lnTo>
              <a:lnTo>
                <a:pt x="1339" y="2479"/>
              </a:lnTo>
              <a:lnTo>
                <a:pt x="668" y="2875"/>
              </a:lnTo>
              <a:lnTo>
                <a:pt x="0" y="3305"/>
              </a:lnTo>
              <a:close/>
            </a:path>
          </a:pathLst>
        </a:custGeom>
        <a:solidFill>
          <a:srgbClr val="E5905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</xdr:row>
      <xdr:rowOff>19049</xdr:rowOff>
    </xdr:from>
    <xdr:to>
      <xdr:col>7</xdr:col>
      <xdr:colOff>133350</xdr:colOff>
      <xdr:row>8</xdr:row>
      <xdr:rowOff>38099</xdr:rowOff>
    </xdr:to>
    <xdr:sp macro="" textlink="">
      <xdr:nvSpPr>
        <xdr:cNvPr id="98" name="Shape 98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/>
      </xdr:nvSpPr>
      <xdr:spPr>
        <a:xfrm>
          <a:off x="5810250" y="247649"/>
          <a:ext cx="2705101" cy="11620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9" y="3386"/>
              </a:moveTo>
              <a:lnTo>
                <a:pt x="109" y="21479"/>
              </a:lnTo>
              <a:lnTo>
                <a:pt x="0" y="21479"/>
              </a:lnTo>
              <a:lnTo>
                <a:pt x="0" y="3386"/>
              </a:lnTo>
              <a:lnTo>
                <a:pt x="109" y="338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479"/>
              </a:lnTo>
              <a:lnTo>
                <a:pt x="54" y="21479"/>
              </a:lnTo>
              <a:lnTo>
                <a:pt x="54" y="21600"/>
              </a:lnTo>
              <a:close/>
              <a:moveTo>
                <a:pt x="54" y="21359"/>
              </a:moveTo>
              <a:lnTo>
                <a:pt x="21546" y="21359"/>
              </a:lnTo>
              <a:lnTo>
                <a:pt x="21546" y="21600"/>
              </a:lnTo>
              <a:lnTo>
                <a:pt x="54" y="21600"/>
              </a:lnTo>
              <a:lnTo>
                <a:pt x="54" y="21359"/>
              </a:lnTo>
              <a:close/>
              <a:moveTo>
                <a:pt x="21600" y="21479"/>
              </a:moveTo>
              <a:lnTo>
                <a:pt x="21600" y="21600"/>
              </a:lnTo>
              <a:lnTo>
                <a:pt x="21546" y="21600"/>
              </a:lnTo>
              <a:lnTo>
                <a:pt x="21546" y="21479"/>
              </a:lnTo>
              <a:lnTo>
                <a:pt x="21600" y="21479"/>
              </a:lnTo>
              <a:close/>
              <a:moveTo>
                <a:pt x="21491" y="21479"/>
              </a:moveTo>
              <a:lnTo>
                <a:pt x="21491" y="3386"/>
              </a:lnTo>
              <a:lnTo>
                <a:pt x="21600" y="3386"/>
              </a:lnTo>
              <a:lnTo>
                <a:pt x="21600" y="21479"/>
              </a:lnTo>
              <a:lnTo>
                <a:pt x="21491" y="21479"/>
              </a:lnTo>
              <a:close/>
              <a:moveTo>
                <a:pt x="21560" y="3272"/>
              </a:moveTo>
              <a:lnTo>
                <a:pt x="21600" y="3295"/>
              </a:lnTo>
              <a:lnTo>
                <a:pt x="21600" y="3386"/>
              </a:lnTo>
              <a:lnTo>
                <a:pt x="21546" y="3386"/>
              </a:lnTo>
              <a:lnTo>
                <a:pt x="21560" y="3272"/>
              </a:lnTo>
              <a:close/>
              <a:moveTo>
                <a:pt x="21531" y="3503"/>
              </a:moveTo>
              <a:lnTo>
                <a:pt x="21529" y="3500"/>
              </a:lnTo>
              <a:lnTo>
                <a:pt x="21558" y="3272"/>
              </a:lnTo>
              <a:lnTo>
                <a:pt x="21560" y="3272"/>
              </a:lnTo>
              <a:lnTo>
                <a:pt x="21531" y="3503"/>
              </a:lnTo>
              <a:close/>
              <a:moveTo>
                <a:pt x="21529" y="3500"/>
              </a:moveTo>
              <a:lnTo>
                <a:pt x="21352" y="3396"/>
              </a:lnTo>
              <a:lnTo>
                <a:pt x="21174" y="3295"/>
              </a:lnTo>
              <a:lnTo>
                <a:pt x="20996" y="3188"/>
              </a:lnTo>
              <a:lnTo>
                <a:pt x="20817" y="3091"/>
              </a:lnTo>
              <a:lnTo>
                <a:pt x="20639" y="2991"/>
              </a:lnTo>
              <a:lnTo>
                <a:pt x="20459" y="2897"/>
              </a:lnTo>
              <a:lnTo>
                <a:pt x="20280" y="2800"/>
              </a:lnTo>
              <a:lnTo>
                <a:pt x="20101" y="2709"/>
              </a:lnTo>
              <a:lnTo>
                <a:pt x="19921" y="2615"/>
              </a:lnTo>
              <a:lnTo>
                <a:pt x="19738" y="2525"/>
              </a:lnTo>
              <a:lnTo>
                <a:pt x="19558" y="2438"/>
              </a:lnTo>
              <a:lnTo>
                <a:pt x="19195" y="2264"/>
              </a:lnTo>
              <a:lnTo>
                <a:pt x="19012" y="2180"/>
              </a:lnTo>
              <a:lnTo>
                <a:pt x="18830" y="2096"/>
              </a:lnTo>
              <a:lnTo>
                <a:pt x="18646" y="2016"/>
              </a:lnTo>
              <a:lnTo>
                <a:pt x="18667" y="1785"/>
              </a:lnTo>
              <a:lnTo>
                <a:pt x="18852" y="1865"/>
              </a:lnTo>
              <a:lnTo>
                <a:pt x="19035" y="1946"/>
              </a:lnTo>
              <a:lnTo>
                <a:pt x="19216" y="2029"/>
              </a:lnTo>
              <a:lnTo>
                <a:pt x="19399" y="2116"/>
              </a:lnTo>
              <a:lnTo>
                <a:pt x="19581" y="2204"/>
              </a:lnTo>
              <a:lnTo>
                <a:pt x="19762" y="2294"/>
              </a:lnTo>
              <a:lnTo>
                <a:pt x="19945" y="2384"/>
              </a:lnTo>
              <a:lnTo>
                <a:pt x="20125" y="2478"/>
              </a:lnTo>
              <a:lnTo>
                <a:pt x="20305" y="2569"/>
              </a:lnTo>
              <a:lnTo>
                <a:pt x="20665" y="2763"/>
              </a:lnTo>
              <a:lnTo>
                <a:pt x="20843" y="2860"/>
              </a:lnTo>
              <a:lnTo>
                <a:pt x="21023" y="2960"/>
              </a:lnTo>
              <a:lnTo>
                <a:pt x="21202" y="3061"/>
              </a:lnTo>
              <a:lnTo>
                <a:pt x="21380" y="3165"/>
              </a:lnTo>
              <a:lnTo>
                <a:pt x="21558" y="3272"/>
              </a:lnTo>
              <a:lnTo>
                <a:pt x="21529" y="3500"/>
              </a:lnTo>
              <a:close/>
              <a:moveTo>
                <a:pt x="18646" y="2016"/>
              </a:moveTo>
              <a:lnTo>
                <a:pt x="18280" y="1862"/>
              </a:lnTo>
              <a:lnTo>
                <a:pt x="18095" y="1785"/>
              </a:lnTo>
              <a:lnTo>
                <a:pt x="17911" y="1711"/>
              </a:lnTo>
              <a:lnTo>
                <a:pt x="17726" y="1641"/>
              </a:lnTo>
              <a:lnTo>
                <a:pt x="17540" y="1571"/>
              </a:lnTo>
              <a:lnTo>
                <a:pt x="17355" y="1500"/>
              </a:lnTo>
              <a:lnTo>
                <a:pt x="17171" y="1433"/>
              </a:lnTo>
              <a:lnTo>
                <a:pt x="16985" y="1370"/>
              </a:lnTo>
              <a:lnTo>
                <a:pt x="16800" y="1303"/>
              </a:lnTo>
              <a:lnTo>
                <a:pt x="16614" y="1242"/>
              </a:lnTo>
              <a:lnTo>
                <a:pt x="16426" y="1182"/>
              </a:lnTo>
              <a:lnTo>
                <a:pt x="16240" y="1122"/>
              </a:lnTo>
              <a:lnTo>
                <a:pt x="16054" y="1068"/>
              </a:lnTo>
              <a:lnTo>
                <a:pt x="15868" y="1011"/>
              </a:lnTo>
              <a:lnTo>
                <a:pt x="15681" y="961"/>
              </a:lnTo>
              <a:lnTo>
                <a:pt x="15694" y="727"/>
              </a:lnTo>
              <a:lnTo>
                <a:pt x="15882" y="777"/>
              </a:lnTo>
              <a:lnTo>
                <a:pt x="16445" y="948"/>
              </a:lnTo>
              <a:lnTo>
                <a:pt x="16633" y="1008"/>
              </a:lnTo>
              <a:lnTo>
                <a:pt x="16819" y="1068"/>
              </a:lnTo>
              <a:lnTo>
                <a:pt x="17005" y="1132"/>
              </a:lnTo>
              <a:lnTo>
                <a:pt x="17377" y="1266"/>
              </a:lnTo>
              <a:lnTo>
                <a:pt x="17561" y="1333"/>
              </a:lnTo>
              <a:lnTo>
                <a:pt x="17748" y="1407"/>
              </a:lnTo>
              <a:lnTo>
                <a:pt x="18301" y="1628"/>
              </a:lnTo>
              <a:lnTo>
                <a:pt x="18484" y="1705"/>
              </a:lnTo>
              <a:lnTo>
                <a:pt x="18667" y="1785"/>
              </a:lnTo>
              <a:lnTo>
                <a:pt x="18646" y="2016"/>
              </a:lnTo>
              <a:close/>
              <a:moveTo>
                <a:pt x="15681" y="961"/>
              </a:moveTo>
              <a:lnTo>
                <a:pt x="15198" y="834"/>
              </a:lnTo>
              <a:lnTo>
                <a:pt x="14715" y="717"/>
              </a:lnTo>
              <a:lnTo>
                <a:pt x="14230" y="613"/>
              </a:lnTo>
              <a:lnTo>
                <a:pt x="13743" y="522"/>
              </a:lnTo>
              <a:lnTo>
                <a:pt x="13255" y="442"/>
              </a:lnTo>
              <a:lnTo>
                <a:pt x="12766" y="375"/>
              </a:lnTo>
              <a:lnTo>
                <a:pt x="12277" y="321"/>
              </a:lnTo>
              <a:lnTo>
                <a:pt x="11787" y="281"/>
              </a:lnTo>
              <a:lnTo>
                <a:pt x="11296" y="251"/>
              </a:lnTo>
              <a:lnTo>
                <a:pt x="10805" y="238"/>
              </a:lnTo>
              <a:lnTo>
                <a:pt x="10313" y="234"/>
              </a:lnTo>
              <a:lnTo>
                <a:pt x="9821" y="248"/>
              </a:lnTo>
              <a:lnTo>
                <a:pt x="9329" y="271"/>
              </a:lnTo>
              <a:lnTo>
                <a:pt x="8837" y="311"/>
              </a:lnTo>
              <a:lnTo>
                <a:pt x="8343" y="365"/>
              </a:lnTo>
              <a:lnTo>
                <a:pt x="7851" y="429"/>
              </a:lnTo>
              <a:lnTo>
                <a:pt x="7359" y="512"/>
              </a:lnTo>
              <a:lnTo>
                <a:pt x="6867" y="606"/>
              </a:lnTo>
              <a:lnTo>
                <a:pt x="6376" y="717"/>
              </a:lnTo>
              <a:lnTo>
                <a:pt x="5884" y="841"/>
              </a:lnTo>
              <a:lnTo>
                <a:pt x="5395" y="978"/>
              </a:lnTo>
              <a:lnTo>
                <a:pt x="4904" y="1129"/>
              </a:lnTo>
              <a:lnTo>
                <a:pt x="4417" y="1296"/>
              </a:lnTo>
              <a:lnTo>
                <a:pt x="3928" y="1484"/>
              </a:lnTo>
              <a:lnTo>
                <a:pt x="3442" y="1678"/>
              </a:lnTo>
              <a:lnTo>
                <a:pt x="2956" y="1892"/>
              </a:lnTo>
              <a:lnTo>
                <a:pt x="2470" y="2120"/>
              </a:lnTo>
              <a:lnTo>
                <a:pt x="1989" y="2368"/>
              </a:lnTo>
              <a:lnTo>
                <a:pt x="1506" y="2625"/>
              </a:lnTo>
              <a:lnTo>
                <a:pt x="1026" y="2900"/>
              </a:lnTo>
              <a:lnTo>
                <a:pt x="546" y="3195"/>
              </a:lnTo>
              <a:lnTo>
                <a:pt x="71" y="3500"/>
              </a:lnTo>
              <a:lnTo>
                <a:pt x="38" y="3275"/>
              </a:lnTo>
              <a:lnTo>
                <a:pt x="517" y="2964"/>
              </a:lnTo>
              <a:lnTo>
                <a:pt x="997" y="2672"/>
              </a:lnTo>
              <a:lnTo>
                <a:pt x="1478" y="2394"/>
              </a:lnTo>
              <a:lnTo>
                <a:pt x="1962" y="2133"/>
              </a:lnTo>
              <a:lnTo>
                <a:pt x="2445" y="1889"/>
              </a:lnTo>
              <a:lnTo>
                <a:pt x="2933" y="1661"/>
              </a:lnTo>
              <a:lnTo>
                <a:pt x="3419" y="1447"/>
              </a:lnTo>
              <a:lnTo>
                <a:pt x="3906" y="1246"/>
              </a:lnTo>
              <a:lnTo>
                <a:pt x="4397" y="1062"/>
              </a:lnTo>
              <a:lnTo>
                <a:pt x="4887" y="894"/>
              </a:lnTo>
              <a:lnTo>
                <a:pt x="5378" y="743"/>
              </a:lnTo>
              <a:lnTo>
                <a:pt x="5870" y="606"/>
              </a:lnTo>
              <a:lnTo>
                <a:pt x="6364" y="482"/>
              </a:lnTo>
              <a:lnTo>
                <a:pt x="6856" y="368"/>
              </a:lnTo>
              <a:lnTo>
                <a:pt x="7348" y="275"/>
              </a:lnTo>
              <a:lnTo>
                <a:pt x="7843" y="194"/>
              </a:lnTo>
              <a:lnTo>
                <a:pt x="8335" y="127"/>
              </a:lnTo>
              <a:lnTo>
                <a:pt x="8831" y="74"/>
              </a:lnTo>
              <a:lnTo>
                <a:pt x="9324" y="37"/>
              </a:lnTo>
              <a:lnTo>
                <a:pt x="9818" y="10"/>
              </a:lnTo>
              <a:lnTo>
                <a:pt x="10312" y="0"/>
              </a:lnTo>
              <a:lnTo>
                <a:pt x="10805" y="0"/>
              </a:lnTo>
              <a:lnTo>
                <a:pt x="11298" y="17"/>
              </a:lnTo>
              <a:lnTo>
                <a:pt x="11788" y="44"/>
              </a:lnTo>
              <a:lnTo>
                <a:pt x="12282" y="84"/>
              </a:lnTo>
              <a:lnTo>
                <a:pt x="12771" y="137"/>
              </a:lnTo>
              <a:lnTo>
                <a:pt x="13261" y="204"/>
              </a:lnTo>
              <a:lnTo>
                <a:pt x="13750" y="285"/>
              </a:lnTo>
              <a:lnTo>
                <a:pt x="14240" y="375"/>
              </a:lnTo>
              <a:lnTo>
                <a:pt x="14726" y="482"/>
              </a:lnTo>
              <a:lnTo>
                <a:pt x="15210" y="599"/>
              </a:lnTo>
              <a:lnTo>
                <a:pt x="15694" y="727"/>
              </a:lnTo>
              <a:lnTo>
                <a:pt x="15681" y="961"/>
              </a:lnTo>
              <a:close/>
              <a:moveTo>
                <a:pt x="0" y="3386"/>
              </a:moveTo>
              <a:lnTo>
                <a:pt x="0" y="3299"/>
              </a:lnTo>
              <a:lnTo>
                <a:pt x="38" y="3275"/>
              </a:lnTo>
              <a:lnTo>
                <a:pt x="54" y="3386"/>
              </a:lnTo>
              <a:lnTo>
                <a:pt x="0" y="3386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10</xdr:row>
      <xdr:rowOff>28575</xdr:rowOff>
    </xdr:from>
    <xdr:to>
      <xdr:col>7</xdr:col>
      <xdr:colOff>123825</xdr:colOff>
      <xdr:row>18</xdr:row>
      <xdr:rowOff>123825</xdr:rowOff>
    </xdr:to>
    <xdr:sp macro="" textlink="">
      <xdr:nvSpPr>
        <xdr:cNvPr id="99" name="Shape 99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/>
      </xdr:nvSpPr>
      <xdr:spPr>
        <a:xfrm>
          <a:off x="5819775" y="1724025"/>
          <a:ext cx="2686050" cy="1400175"/>
        </a:xfrm>
        <a:prstGeom prst="rect">
          <a:avLst/>
        </a:prstGeom>
        <a:solidFill>
          <a:srgbClr val="EDC28D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10</xdr:row>
      <xdr:rowOff>19048</xdr:rowOff>
    </xdr:from>
    <xdr:to>
      <xdr:col>7</xdr:col>
      <xdr:colOff>133350</xdr:colOff>
      <xdr:row>18</xdr:row>
      <xdr:rowOff>133348</xdr:rowOff>
    </xdr:to>
    <xdr:sp macro="" textlink="">
      <xdr:nvSpPr>
        <xdr:cNvPr id="100" name="Shape 100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/>
      </xdr:nvSpPr>
      <xdr:spPr>
        <a:xfrm>
          <a:off x="5810250" y="1714498"/>
          <a:ext cx="2705101" cy="14192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1405"/>
              </a:moveTo>
              <a:lnTo>
                <a:pt x="21546" y="21405"/>
              </a:lnTo>
              <a:lnTo>
                <a:pt x="21546" y="21600"/>
              </a:lnTo>
              <a:lnTo>
                <a:pt x="54" y="21600"/>
              </a:lnTo>
              <a:lnTo>
                <a:pt x="54" y="21405"/>
              </a:lnTo>
              <a:close/>
              <a:moveTo>
                <a:pt x="21600" y="21504"/>
              </a:moveTo>
              <a:lnTo>
                <a:pt x="21600" y="21600"/>
              </a:lnTo>
              <a:lnTo>
                <a:pt x="21546" y="21600"/>
              </a:lnTo>
              <a:lnTo>
                <a:pt x="21546" y="21504"/>
              </a:lnTo>
              <a:lnTo>
                <a:pt x="21600" y="21504"/>
              </a:lnTo>
              <a:close/>
              <a:moveTo>
                <a:pt x="21491" y="21504"/>
              </a:moveTo>
              <a:lnTo>
                <a:pt x="21491" y="96"/>
              </a:lnTo>
              <a:lnTo>
                <a:pt x="21600" y="96"/>
              </a:lnTo>
              <a:lnTo>
                <a:pt x="21600" y="21504"/>
              </a:lnTo>
              <a:lnTo>
                <a:pt x="21491" y="2150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96"/>
              </a:lnTo>
              <a:lnTo>
                <a:pt x="21546" y="96"/>
              </a:lnTo>
              <a:lnTo>
                <a:pt x="21546" y="0"/>
              </a:lnTo>
              <a:close/>
              <a:moveTo>
                <a:pt x="21546" y="195"/>
              </a:moveTo>
              <a:lnTo>
                <a:pt x="54" y="195"/>
              </a:lnTo>
              <a:lnTo>
                <a:pt x="54" y="0"/>
              </a:lnTo>
              <a:lnTo>
                <a:pt x="21546" y="0"/>
              </a:lnTo>
              <a:lnTo>
                <a:pt x="21546" y="195"/>
              </a:lnTo>
              <a:close/>
              <a:moveTo>
                <a:pt x="0" y="96"/>
              </a:moveTo>
              <a:lnTo>
                <a:pt x="0" y="0"/>
              </a:lnTo>
              <a:lnTo>
                <a:pt x="54" y="0"/>
              </a:lnTo>
              <a:lnTo>
                <a:pt x="54" y="96"/>
              </a:lnTo>
              <a:lnTo>
                <a:pt x="0" y="96"/>
              </a:lnTo>
              <a:close/>
              <a:moveTo>
                <a:pt x="109" y="96"/>
              </a:moveTo>
              <a:lnTo>
                <a:pt x="109" y="21504"/>
              </a:lnTo>
              <a:lnTo>
                <a:pt x="0" y="21504"/>
              </a:lnTo>
              <a:lnTo>
                <a:pt x="0" y="96"/>
              </a:lnTo>
              <a:lnTo>
                <a:pt x="109" y="9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504"/>
              </a:lnTo>
              <a:lnTo>
                <a:pt x="54" y="2150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8</xdr:row>
      <xdr:rowOff>28575</xdr:rowOff>
    </xdr:from>
    <xdr:to>
      <xdr:col>7</xdr:col>
      <xdr:colOff>123825</xdr:colOff>
      <xdr:row>10</xdr:row>
      <xdr:rowOff>28575</xdr:rowOff>
    </xdr:to>
    <xdr:sp macro="" textlink="">
      <xdr:nvSpPr>
        <xdr:cNvPr id="101" name="Shape 101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/>
      </xdr:nvSpPr>
      <xdr:spPr>
        <a:xfrm>
          <a:off x="5819775" y="1400175"/>
          <a:ext cx="2686050" cy="323850"/>
        </a:xfrm>
        <a:prstGeom prst="rect">
          <a:avLst/>
        </a:prstGeom>
        <a:solidFill>
          <a:srgbClr val="F5EBC8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19050</xdr:colOff>
      <xdr:row>8</xdr:row>
      <xdr:rowOff>19050</xdr:rowOff>
    </xdr:from>
    <xdr:to>
      <xdr:col>7</xdr:col>
      <xdr:colOff>133350</xdr:colOff>
      <xdr:row>10</xdr:row>
      <xdr:rowOff>38100</xdr:rowOff>
    </xdr:to>
    <xdr:sp macro="" textlink="">
      <xdr:nvSpPr>
        <xdr:cNvPr id="102" name="Shape 102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/>
      </xdr:nvSpPr>
      <xdr:spPr>
        <a:xfrm>
          <a:off x="5810250" y="1390650"/>
          <a:ext cx="2705101" cy="3429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" y="20779"/>
              </a:moveTo>
              <a:lnTo>
                <a:pt x="21546" y="20779"/>
              </a:lnTo>
              <a:lnTo>
                <a:pt x="21546" y="21600"/>
              </a:lnTo>
              <a:lnTo>
                <a:pt x="54" y="21600"/>
              </a:lnTo>
              <a:lnTo>
                <a:pt x="54" y="20779"/>
              </a:lnTo>
              <a:close/>
              <a:moveTo>
                <a:pt x="21600" y="21184"/>
              </a:moveTo>
              <a:lnTo>
                <a:pt x="21600" y="21600"/>
              </a:lnTo>
              <a:lnTo>
                <a:pt x="21546" y="21600"/>
              </a:lnTo>
              <a:lnTo>
                <a:pt x="21546" y="21184"/>
              </a:lnTo>
              <a:lnTo>
                <a:pt x="21600" y="21184"/>
              </a:lnTo>
              <a:close/>
              <a:moveTo>
                <a:pt x="21491" y="21184"/>
              </a:moveTo>
              <a:lnTo>
                <a:pt x="21491" y="416"/>
              </a:lnTo>
              <a:lnTo>
                <a:pt x="21600" y="416"/>
              </a:lnTo>
              <a:lnTo>
                <a:pt x="21600" y="21184"/>
              </a:lnTo>
              <a:lnTo>
                <a:pt x="21491" y="21184"/>
              </a:lnTo>
              <a:close/>
              <a:moveTo>
                <a:pt x="21546" y="0"/>
              </a:moveTo>
              <a:lnTo>
                <a:pt x="21600" y="0"/>
              </a:lnTo>
              <a:lnTo>
                <a:pt x="21600" y="416"/>
              </a:lnTo>
              <a:lnTo>
                <a:pt x="21546" y="416"/>
              </a:lnTo>
              <a:lnTo>
                <a:pt x="21546" y="0"/>
              </a:lnTo>
              <a:close/>
              <a:moveTo>
                <a:pt x="21546" y="833"/>
              </a:moveTo>
              <a:lnTo>
                <a:pt x="54" y="833"/>
              </a:lnTo>
              <a:lnTo>
                <a:pt x="54" y="0"/>
              </a:lnTo>
              <a:lnTo>
                <a:pt x="21546" y="0"/>
              </a:lnTo>
              <a:lnTo>
                <a:pt x="21546" y="833"/>
              </a:lnTo>
              <a:close/>
              <a:moveTo>
                <a:pt x="0" y="416"/>
              </a:moveTo>
              <a:lnTo>
                <a:pt x="0" y="0"/>
              </a:lnTo>
              <a:lnTo>
                <a:pt x="54" y="0"/>
              </a:lnTo>
              <a:lnTo>
                <a:pt x="54" y="416"/>
              </a:lnTo>
              <a:lnTo>
                <a:pt x="0" y="416"/>
              </a:lnTo>
              <a:close/>
              <a:moveTo>
                <a:pt x="109" y="416"/>
              </a:moveTo>
              <a:lnTo>
                <a:pt x="109" y="21184"/>
              </a:lnTo>
              <a:lnTo>
                <a:pt x="0" y="21184"/>
              </a:lnTo>
              <a:lnTo>
                <a:pt x="0" y="416"/>
              </a:lnTo>
              <a:lnTo>
                <a:pt x="109" y="416"/>
              </a:lnTo>
              <a:close/>
              <a:moveTo>
                <a:pt x="54" y="21600"/>
              </a:moveTo>
              <a:lnTo>
                <a:pt x="0" y="21600"/>
              </a:lnTo>
              <a:lnTo>
                <a:pt x="0" y="21184"/>
              </a:lnTo>
              <a:lnTo>
                <a:pt x="54" y="21184"/>
              </a:lnTo>
              <a:lnTo>
                <a:pt x="54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38099</xdr:colOff>
      <xdr:row>11</xdr:row>
      <xdr:rowOff>114299</xdr:rowOff>
    </xdr:from>
    <xdr:to>
      <xdr:col>6</xdr:col>
      <xdr:colOff>47624</xdr:colOff>
      <xdr:row>16</xdr:row>
      <xdr:rowOff>85723</xdr:rowOff>
    </xdr:to>
    <xdr:sp macro="" textlink="">
      <xdr:nvSpPr>
        <xdr:cNvPr id="103" name="Shape 103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/>
      </xdr:nvSpPr>
      <xdr:spPr>
        <a:xfrm>
          <a:off x="6794499" y="1971674"/>
          <a:ext cx="746126" cy="7905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600"/>
              </a:moveTo>
              <a:lnTo>
                <a:pt x="11358" y="21590"/>
              </a:lnTo>
              <a:lnTo>
                <a:pt x="11904" y="21546"/>
              </a:lnTo>
              <a:lnTo>
                <a:pt x="12441" y="21477"/>
              </a:lnTo>
              <a:lnTo>
                <a:pt x="12972" y="21384"/>
              </a:lnTo>
              <a:lnTo>
                <a:pt x="13493" y="21261"/>
              </a:lnTo>
              <a:lnTo>
                <a:pt x="14005" y="21119"/>
              </a:lnTo>
              <a:lnTo>
                <a:pt x="14512" y="20947"/>
              </a:lnTo>
              <a:lnTo>
                <a:pt x="14998" y="20756"/>
              </a:lnTo>
              <a:lnTo>
                <a:pt x="15476" y="20540"/>
              </a:lnTo>
              <a:lnTo>
                <a:pt x="15943" y="20299"/>
              </a:lnTo>
              <a:lnTo>
                <a:pt x="16391" y="20034"/>
              </a:lnTo>
              <a:lnTo>
                <a:pt x="16828" y="19755"/>
              </a:lnTo>
              <a:lnTo>
                <a:pt x="17251" y="19455"/>
              </a:lnTo>
              <a:lnTo>
                <a:pt x="17660" y="19136"/>
              </a:lnTo>
              <a:lnTo>
                <a:pt x="18053" y="18793"/>
              </a:lnTo>
              <a:lnTo>
                <a:pt x="18432" y="18434"/>
              </a:lnTo>
              <a:lnTo>
                <a:pt x="18791" y="18061"/>
              </a:lnTo>
              <a:lnTo>
                <a:pt x="19131" y="17669"/>
              </a:lnTo>
              <a:lnTo>
                <a:pt x="19450" y="17256"/>
              </a:lnTo>
              <a:lnTo>
                <a:pt x="19750" y="16834"/>
              </a:lnTo>
              <a:lnTo>
                <a:pt x="20031" y="16398"/>
              </a:lnTo>
              <a:lnTo>
                <a:pt x="20292" y="15946"/>
              </a:lnTo>
              <a:lnTo>
                <a:pt x="20533" y="15480"/>
              </a:lnTo>
              <a:lnTo>
                <a:pt x="20749" y="15004"/>
              </a:lnTo>
              <a:lnTo>
                <a:pt x="20941" y="14508"/>
              </a:lnTo>
              <a:lnTo>
                <a:pt x="21113" y="14012"/>
              </a:lnTo>
              <a:lnTo>
                <a:pt x="21256" y="13497"/>
              </a:lnTo>
              <a:lnTo>
                <a:pt x="21379" y="12977"/>
              </a:lnTo>
              <a:lnTo>
                <a:pt x="21472" y="12447"/>
              </a:lnTo>
              <a:lnTo>
                <a:pt x="21541" y="11902"/>
              </a:lnTo>
              <a:lnTo>
                <a:pt x="21585" y="11357"/>
              </a:lnTo>
              <a:lnTo>
                <a:pt x="21600" y="10802"/>
              </a:lnTo>
              <a:lnTo>
                <a:pt x="21585" y="10248"/>
              </a:lnTo>
              <a:lnTo>
                <a:pt x="21541" y="9703"/>
              </a:lnTo>
              <a:lnTo>
                <a:pt x="21472" y="9163"/>
              </a:lnTo>
              <a:lnTo>
                <a:pt x="21379" y="8633"/>
              </a:lnTo>
              <a:lnTo>
                <a:pt x="21256" y="8108"/>
              </a:lnTo>
              <a:lnTo>
                <a:pt x="21113" y="7598"/>
              </a:lnTo>
              <a:lnTo>
                <a:pt x="20941" y="7097"/>
              </a:lnTo>
              <a:lnTo>
                <a:pt x="20749" y="6606"/>
              </a:lnTo>
              <a:lnTo>
                <a:pt x="20533" y="6130"/>
              </a:lnTo>
              <a:lnTo>
                <a:pt x="20292" y="5664"/>
              </a:lnTo>
              <a:lnTo>
                <a:pt x="20031" y="5207"/>
              </a:lnTo>
              <a:lnTo>
                <a:pt x="19750" y="4771"/>
              </a:lnTo>
              <a:lnTo>
                <a:pt x="19450" y="4348"/>
              </a:lnTo>
              <a:lnTo>
                <a:pt x="19131" y="3941"/>
              </a:lnTo>
              <a:lnTo>
                <a:pt x="18791" y="3548"/>
              </a:lnTo>
              <a:lnTo>
                <a:pt x="18432" y="3175"/>
              </a:lnTo>
              <a:lnTo>
                <a:pt x="18053" y="2812"/>
              </a:lnTo>
              <a:lnTo>
                <a:pt x="17660" y="2474"/>
              </a:lnTo>
              <a:lnTo>
                <a:pt x="17251" y="2155"/>
              </a:lnTo>
              <a:lnTo>
                <a:pt x="16828" y="1855"/>
              </a:lnTo>
              <a:lnTo>
                <a:pt x="16391" y="1566"/>
              </a:lnTo>
              <a:lnTo>
                <a:pt x="15943" y="1310"/>
              </a:lnTo>
              <a:lnTo>
                <a:pt x="15476" y="1070"/>
              </a:lnTo>
              <a:lnTo>
                <a:pt x="14998" y="854"/>
              </a:lnTo>
              <a:lnTo>
                <a:pt x="14512" y="663"/>
              </a:lnTo>
              <a:lnTo>
                <a:pt x="14005" y="491"/>
              </a:lnTo>
              <a:lnTo>
                <a:pt x="13493" y="348"/>
              </a:lnTo>
              <a:lnTo>
                <a:pt x="12972" y="221"/>
              </a:lnTo>
              <a:lnTo>
                <a:pt x="12441" y="128"/>
              </a:lnTo>
              <a:lnTo>
                <a:pt x="11904" y="59"/>
              </a:lnTo>
              <a:lnTo>
                <a:pt x="11358" y="15"/>
              </a:lnTo>
              <a:lnTo>
                <a:pt x="10802" y="0"/>
              </a:lnTo>
              <a:lnTo>
                <a:pt x="10242" y="15"/>
              </a:lnTo>
              <a:lnTo>
                <a:pt x="9696" y="59"/>
              </a:lnTo>
              <a:lnTo>
                <a:pt x="9159" y="128"/>
              </a:lnTo>
              <a:lnTo>
                <a:pt x="8628" y="221"/>
              </a:lnTo>
              <a:lnTo>
                <a:pt x="8107" y="348"/>
              </a:lnTo>
              <a:lnTo>
                <a:pt x="7595" y="491"/>
              </a:lnTo>
              <a:lnTo>
                <a:pt x="7088" y="663"/>
              </a:lnTo>
              <a:lnTo>
                <a:pt x="6602" y="854"/>
              </a:lnTo>
              <a:lnTo>
                <a:pt x="6124" y="1070"/>
              </a:lnTo>
              <a:lnTo>
                <a:pt x="5657" y="1310"/>
              </a:lnTo>
              <a:lnTo>
                <a:pt x="5209" y="1566"/>
              </a:lnTo>
              <a:lnTo>
                <a:pt x="4772" y="1855"/>
              </a:lnTo>
              <a:lnTo>
                <a:pt x="4349" y="2155"/>
              </a:lnTo>
              <a:lnTo>
                <a:pt x="3940" y="2474"/>
              </a:lnTo>
              <a:lnTo>
                <a:pt x="3547" y="2812"/>
              </a:lnTo>
              <a:lnTo>
                <a:pt x="3168" y="3175"/>
              </a:lnTo>
              <a:lnTo>
                <a:pt x="2809" y="3548"/>
              </a:lnTo>
              <a:lnTo>
                <a:pt x="2469" y="3941"/>
              </a:lnTo>
              <a:lnTo>
                <a:pt x="2150" y="4348"/>
              </a:lnTo>
              <a:lnTo>
                <a:pt x="1850" y="4771"/>
              </a:lnTo>
              <a:lnTo>
                <a:pt x="1569" y="5207"/>
              </a:lnTo>
              <a:lnTo>
                <a:pt x="1308" y="5664"/>
              </a:lnTo>
              <a:lnTo>
                <a:pt x="1067" y="6130"/>
              </a:lnTo>
              <a:lnTo>
                <a:pt x="851" y="6606"/>
              </a:lnTo>
              <a:lnTo>
                <a:pt x="659" y="7097"/>
              </a:lnTo>
              <a:lnTo>
                <a:pt x="487" y="7598"/>
              </a:lnTo>
              <a:lnTo>
                <a:pt x="344" y="8108"/>
              </a:lnTo>
              <a:lnTo>
                <a:pt x="221" y="8633"/>
              </a:lnTo>
              <a:lnTo>
                <a:pt x="128" y="9163"/>
              </a:lnTo>
              <a:lnTo>
                <a:pt x="59" y="9703"/>
              </a:lnTo>
              <a:lnTo>
                <a:pt x="15" y="10248"/>
              </a:lnTo>
              <a:lnTo>
                <a:pt x="0" y="10802"/>
              </a:lnTo>
              <a:lnTo>
                <a:pt x="15" y="11357"/>
              </a:lnTo>
              <a:lnTo>
                <a:pt x="59" y="11902"/>
              </a:lnTo>
              <a:lnTo>
                <a:pt x="128" y="12447"/>
              </a:lnTo>
              <a:lnTo>
                <a:pt x="221" y="12977"/>
              </a:lnTo>
              <a:lnTo>
                <a:pt x="344" y="13497"/>
              </a:lnTo>
              <a:lnTo>
                <a:pt x="487" y="14012"/>
              </a:lnTo>
              <a:lnTo>
                <a:pt x="659" y="14508"/>
              </a:lnTo>
              <a:lnTo>
                <a:pt x="851" y="15004"/>
              </a:lnTo>
              <a:lnTo>
                <a:pt x="1067" y="15480"/>
              </a:lnTo>
              <a:lnTo>
                <a:pt x="1308" y="15946"/>
              </a:lnTo>
              <a:lnTo>
                <a:pt x="1569" y="16398"/>
              </a:lnTo>
              <a:lnTo>
                <a:pt x="1850" y="16834"/>
              </a:lnTo>
              <a:lnTo>
                <a:pt x="2150" y="17256"/>
              </a:lnTo>
              <a:lnTo>
                <a:pt x="2469" y="17669"/>
              </a:lnTo>
              <a:lnTo>
                <a:pt x="2809" y="18061"/>
              </a:lnTo>
              <a:lnTo>
                <a:pt x="3168" y="18434"/>
              </a:lnTo>
              <a:lnTo>
                <a:pt x="3547" y="18793"/>
              </a:lnTo>
              <a:lnTo>
                <a:pt x="3940" y="19136"/>
              </a:lnTo>
              <a:lnTo>
                <a:pt x="4349" y="19455"/>
              </a:lnTo>
              <a:lnTo>
                <a:pt x="4772" y="19755"/>
              </a:lnTo>
              <a:lnTo>
                <a:pt x="5209" y="20034"/>
              </a:lnTo>
              <a:lnTo>
                <a:pt x="5657" y="20299"/>
              </a:lnTo>
              <a:lnTo>
                <a:pt x="6124" y="20540"/>
              </a:lnTo>
              <a:lnTo>
                <a:pt x="6602" y="20756"/>
              </a:lnTo>
              <a:lnTo>
                <a:pt x="7088" y="20947"/>
              </a:lnTo>
              <a:lnTo>
                <a:pt x="7595" y="21119"/>
              </a:lnTo>
              <a:lnTo>
                <a:pt x="8107" y="21261"/>
              </a:lnTo>
              <a:lnTo>
                <a:pt x="8628" y="21384"/>
              </a:lnTo>
              <a:lnTo>
                <a:pt x="9159" y="21477"/>
              </a:lnTo>
              <a:lnTo>
                <a:pt x="9696" y="21546"/>
              </a:lnTo>
              <a:lnTo>
                <a:pt x="10242" y="21590"/>
              </a:lnTo>
              <a:lnTo>
                <a:pt x="10802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28574</xdr:colOff>
      <xdr:row>11</xdr:row>
      <xdr:rowOff>114300</xdr:rowOff>
    </xdr:from>
    <xdr:to>
      <xdr:col>6</xdr:col>
      <xdr:colOff>57150</xdr:colOff>
      <xdr:row>16</xdr:row>
      <xdr:rowOff>95250</xdr:rowOff>
    </xdr:to>
    <xdr:sp macro="" textlink="">
      <xdr:nvSpPr>
        <xdr:cNvPr id="104" name="Shape 104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/>
      </xdr:nvSpPr>
      <xdr:spPr>
        <a:xfrm>
          <a:off x="6784974" y="1971675"/>
          <a:ext cx="765176" cy="8001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  <a:moveTo>
                <a:pt x="10802" y="21252"/>
              </a:moveTo>
              <a:lnTo>
                <a:pt x="11073" y="21247"/>
              </a:lnTo>
              <a:lnTo>
                <a:pt x="11340" y="21238"/>
              </a:lnTo>
              <a:lnTo>
                <a:pt x="11606" y="21223"/>
              </a:lnTo>
              <a:lnTo>
                <a:pt x="11867" y="21199"/>
              </a:lnTo>
              <a:lnTo>
                <a:pt x="12129" y="21170"/>
              </a:lnTo>
              <a:lnTo>
                <a:pt x="12390" y="21132"/>
              </a:lnTo>
              <a:lnTo>
                <a:pt x="12646" y="21088"/>
              </a:lnTo>
              <a:lnTo>
                <a:pt x="12903" y="21040"/>
              </a:lnTo>
              <a:lnTo>
                <a:pt x="13155" y="20987"/>
              </a:lnTo>
              <a:lnTo>
                <a:pt x="13406" y="20924"/>
              </a:lnTo>
              <a:lnTo>
                <a:pt x="13653" y="20856"/>
              </a:lnTo>
              <a:lnTo>
                <a:pt x="13900" y="20784"/>
              </a:lnTo>
              <a:lnTo>
                <a:pt x="14147" y="20702"/>
              </a:lnTo>
              <a:lnTo>
                <a:pt x="14389" y="20620"/>
              </a:lnTo>
              <a:lnTo>
                <a:pt x="14631" y="20528"/>
              </a:lnTo>
              <a:lnTo>
                <a:pt x="14863" y="20431"/>
              </a:lnTo>
              <a:lnTo>
                <a:pt x="15095" y="20330"/>
              </a:lnTo>
              <a:lnTo>
                <a:pt x="15328" y="20224"/>
              </a:lnTo>
              <a:lnTo>
                <a:pt x="15555" y="20103"/>
              </a:lnTo>
              <a:lnTo>
                <a:pt x="15778" y="19987"/>
              </a:lnTo>
              <a:lnTo>
                <a:pt x="16213" y="19736"/>
              </a:lnTo>
              <a:lnTo>
                <a:pt x="16639" y="19466"/>
              </a:lnTo>
              <a:lnTo>
                <a:pt x="16842" y="19321"/>
              </a:lnTo>
              <a:lnTo>
                <a:pt x="17046" y="19171"/>
              </a:lnTo>
              <a:lnTo>
                <a:pt x="17244" y="19021"/>
              </a:lnTo>
              <a:lnTo>
                <a:pt x="17443" y="18862"/>
              </a:lnTo>
              <a:lnTo>
                <a:pt x="17631" y="18698"/>
              </a:lnTo>
              <a:lnTo>
                <a:pt x="18009" y="18360"/>
              </a:lnTo>
              <a:lnTo>
                <a:pt x="18188" y="18186"/>
              </a:lnTo>
              <a:lnTo>
                <a:pt x="18430" y="18427"/>
              </a:lnTo>
              <a:lnTo>
                <a:pt x="18246" y="18606"/>
              </a:lnTo>
              <a:lnTo>
                <a:pt x="18057" y="18785"/>
              </a:lnTo>
              <a:lnTo>
                <a:pt x="17859" y="18959"/>
              </a:lnTo>
              <a:lnTo>
                <a:pt x="17660" y="19128"/>
              </a:lnTo>
              <a:lnTo>
                <a:pt x="17457" y="19292"/>
              </a:lnTo>
              <a:lnTo>
                <a:pt x="17254" y="19446"/>
              </a:lnTo>
              <a:lnTo>
                <a:pt x="17041" y="19601"/>
              </a:lnTo>
              <a:lnTo>
                <a:pt x="16828" y="19746"/>
              </a:lnTo>
              <a:lnTo>
                <a:pt x="16610" y="19891"/>
              </a:lnTo>
              <a:lnTo>
                <a:pt x="16392" y="20031"/>
              </a:lnTo>
              <a:lnTo>
                <a:pt x="16170" y="20166"/>
              </a:lnTo>
              <a:lnTo>
                <a:pt x="15942" y="20291"/>
              </a:lnTo>
              <a:lnTo>
                <a:pt x="15710" y="20417"/>
              </a:lnTo>
              <a:lnTo>
                <a:pt x="15473" y="20533"/>
              </a:lnTo>
              <a:lnTo>
                <a:pt x="15236" y="20644"/>
              </a:lnTo>
              <a:lnTo>
                <a:pt x="14999" y="20745"/>
              </a:lnTo>
              <a:lnTo>
                <a:pt x="14757" y="20847"/>
              </a:lnTo>
              <a:lnTo>
                <a:pt x="14510" y="20938"/>
              </a:lnTo>
              <a:lnTo>
                <a:pt x="14253" y="21025"/>
              </a:lnTo>
              <a:lnTo>
                <a:pt x="14002" y="21107"/>
              </a:lnTo>
              <a:lnTo>
                <a:pt x="13750" y="21185"/>
              </a:lnTo>
              <a:lnTo>
                <a:pt x="13493" y="21257"/>
              </a:lnTo>
              <a:lnTo>
                <a:pt x="13232" y="21320"/>
              </a:lnTo>
              <a:lnTo>
                <a:pt x="12709" y="21426"/>
              </a:lnTo>
              <a:lnTo>
                <a:pt x="12443" y="21474"/>
              </a:lnTo>
              <a:lnTo>
                <a:pt x="12172" y="21513"/>
              </a:lnTo>
              <a:lnTo>
                <a:pt x="11901" y="21542"/>
              </a:lnTo>
              <a:lnTo>
                <a:pt x="11630" y="21566"/>
              </a:lnTo>
              <a:lnTo>
                <a:pt x="11354" y="21586"/>
              </a:lnTo>
              <a:lnTo>
                <a:pt x="11078" y="21595"/>
              </a:lnTo>
              <a:lnTo>
                <a:pt x="10802" y="21600"/>
              </a:lnTo>
              <a:lnTo>
                <a:pt x="10802" y="21252"/>
              </a:lnTo>
              <a:close/>
              <a:moveTo>
                <a:pt x="18188" y="18186"/>
              </a:moveTo>
              <a:lnTo>
                <a:pt x="18362" y="18007"/>
              </a:lnTo>
              <a:lnTo>
                <a:pt x="18536" y="17824"/>
              </a:lnTo>
              <a:lnTo>
                <a:pt x="18701" y="17635"/>
              </a:lnTo>
              <a:lnTo>
                <a:pt x="18861" y="17442"/>
              </a:lnTo>
              <a:lnTo>
                <a:pt x="19020" y="17244"/>
              </a:lnTo>
              <a:lnTo>
                <a:pt x="19175" y="17046"/>
              </a:lnTo>
              <a:lnTo>
                <a:pt x="19320" y="16843"/>
              </a:lnTo>
              <a:lnTo>
                <a:pt x="19466" y="16636"/>
              </a:lnTo>
              <a:lnTo>
                <a:pt x="19601" y="16428"/>
              </a:lnTo>
              <a:lnTo>
                <a:pt x="19737" y="16216"/>
              </a:lnTo>
              <a:lnTo>
                <a:pt x="19867" y="15994"/>
              </a:lnTo>
              <a:lnTo>
                <a:pt x="19988" y="15776"/>
              </a:lnTo>
              <a:lnTo>
                <a:pt x="20105" y="15549"/>
              </a:lnTo>
              <a:lnTo>
                <a:pt x="20221" y="15327"/>
              </a:lnTo>
              <a:lnTo>
                <a:pt x="20327" y="15095"/>
              </a:lnTo>
              <a:lnTo>
                <a:pt x="20429" y="14864"/>
              </a:lnTo>
              <a:lnTo>
                <a:pt x="20526" y="14627"/>
              </a:lnTo>
              <a:lnTo>
                <a:pt x="20618" y="14386"/>
              </a:lnTo>
              <a:lnTo>
                <a:pt x="20700" y="14149"/>
              </a:lnTo>
              <a:lnTo>
                <a:pt x="20782" y="13903"/>
              </a:lnTo>
              <a:lnTo>
                <a:pt x="20855" y="13656"/>
              </a:lnTo>
              <a:lnTo>
                <a:pt x="20922" y="13405"/>
              </a:lnTo>
              <a:lnTo>
                <a:pt x="20985" y="13154"/>
              </a:lnTo>
              <a:lnTo>
                <a:pt x="21039" y="12903"/>
              </a:lnTo>
              <a:lnTo>
                <a:pt x="21087" y="12647"/>
              </a:lnTo>
              <a:lnTo>
                <a:pt x="21131" y="12391"/>
              </a:lnTo>
              <a:lnTo>
                <a:pt x="21169" y="12126"/>
              </a:lnTo>
              <a:lnTo>
                <a:pt x="21198" y="11865"/>
              </a:lnTo>
              <a:lnTo>
                <a:pt x="21222" y="11604"/>
              </a:lnTo>
              <a:lnTo>
                <a:pt x="21237" y="11338"/>
              </a:lnTo>
              <a:lnTo>
                <a:pt x="21247" y="11073"/>
              </a:lnTo>
              <a:lnTo>
                <a:pt x="21252" y="10798"/>
              </a:lnTo>
              <a:lnTo>
                <a:pt x="21600" y="10798"/>
              </a:lnTo>
              <a:lnTo>
                <a:pt x="21595" y="11078"/>
              </a:lnTo>
              <a:lnTo>
                <a:pt x="21585" y="11353"/>
              </a:lnTo>
              <a:lnTo>
                <a:pt x="21566" y="11628"/>
              </a:lnTo>
              <a:lnTo>
                <a:pt x="21542" y="11899"/>
              </a:lnTo>
              <a:lnTo>
                <a:pt x="21508" y="12169"/>
              </a:lnTo>
              <a:lnTo>
                <a:pt x="21469" y="12444"/>
              </a:lnTo>
              <a:lnTo>
                <a:pt x="21426" y="12710"/>
              </a:lnTo>
              <a:lnTo>
                <a:pt x="21377" y="12971"/>
              </a:lnTo>
              <a:lnTo>
                <a:pt x="21319" y="13231"/>
              </a:lnTo>
              <a:lnTo>
                <a:pt x="21256" y="13492"/>
              </a:lnTo>
              <a:lnTo>
                <a:pt x="21184" y="13753"/>
              </a:lnTo>
              <a:lnTo>
                <a:pt x="21029" y="14255"/>
              </a:lnTo>
              <a:lnTo>
                <a:pt x="20937" y="14506"/>
              </a:lnTo>
              <a:lnTo>
                <a:pt x="20845" y="14753"/>
              </a:lnTo>
              <a:lnTo>
                <a:pt x="20743" y="14999"/>
              </a:lnTo>
              <a:lnTo>
                <a:pt x="20642" y="15235"/>
              </a:lnTo>
              <a:lnTo>
                <a:pt x="20530" y="15472"/>
              </a:lnTo>
              <a:lnTo>
                <a:pt x="20414" y="15709"/>
              </a:lnTo>
              <a:lnTo>
                <a:pt x="20163" y="16163"/>
              </a:lnTo>
              <a:lnTo>
                <a:pt x="20032" y="16394"/>
              </a:lnTo>
              <a:lnTo>
                <a:pt x="19751" y="16829"/>
              </a:lnTo>
              <a:lnTo>
                <a:pt x="19601" y="17041"/>
              </a:lnTo>
              <a:lnTo>
                <a:pt x="19446" y="17254"/>
              </a:lnTo>
              <a:lnTo>
                <a:pt x="19291" y="17457"/>
              </a:lnTo>
              <a:lnTo>
                <a:pt x="19127" y="17664"/>
              </a:lnTo>
              <a:lnTo>
                <a:pt x="18962" y="17862"/>
              </a:lnTo>
              <a:lnTo>
                <a:pt x="18788" y="18056"/>
              </a:lnTo>
              <a:lnTo>
                <a:pt x="18614" y="18244"/>
              </a:lnTo>
              <a:lnTo>
                <a:pt x="18430" y="18427"/>
              </a:lnTo>
              <a:lnTo>
                <a:pt x="18188" y="18186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600" y="10798"/>
              </a:lnTo>
              <a:lnTo>
                <a:pt x="21252" y="10798"/>
              </a:lnTo>
              <a:close/>
              <a:moveTo>
                <a:pt x="21252" y="10798"/>
              </a:moveTo>
              <a:lnTo>
                <a:pt x="21247" y="10527"/>
              </a:lnTo>
              <a:lnTo>
                <a:pt x="21237" y="10262"/>
              </a:lnTo>
              <a:lnTo>
                <a:pt x="21222" y="9996"/>
              </a:lnTo>
              <a:lnTo>
                <a:pt x="21198" y="9735"/>
              </a:lnTo>
              <a:lnTo>
                <a:pt x="21169" y="9470"/>
              </a:lnTo>
              <a:lnTo>
                <a:pt x="21131" y="9209"/>
              </a:lnTo>
              <a:lnTo>
                <a:pt x="21087" y="8953"/>
              </a:lnTo>
              <a:lnTo>
                <a:pt x="21039" y="8697"/>
              </a:lnTo>
              <a:lnTo>
                <a:pt x="20985" y="8446"/>
              </a:lnTo>
              <a:lnTo>
                <a:pt x="20922" y="8190"/>
              </a:lnTo>
              <a:lnTo>
                <a:pt x="20855" y="7939"/>
              </a:lnTo>
              <a:lnTo>
                <a:pt x="20782" y="7697"/>
              </a:lnTo>
              <a:lnTo>
                <a:pt x="20700" y="7451"/>
              </a:lnTo>
              <a:lnTo>
                <a:pt x="20618" y="7210"/>
              </a:lnTo>
              <a:lnTo>
                <a:pt x="20526" y="6968"/>
              </a:lnTo>
              <a:lnTo>
                <a:pt x="20429" y="6736"/>
              </a:lnTo>
              <a:lnTo>
                <a:pt x="20327" y="6505"/>
              </a:lnTo>
              <a:lnTo>
                <a:pt x="20221" y="6273"/>
              </a:lnTo>
              <a:lnTo>
                <a:pt x="20105" y="6046"/>
              </a:lnTo>
              <a:lnTo>
                <a:pt x="19988" y="5824"/>
              </a:lnTo>
              <a:lnTo>
                <a:pt x="19867" y="5602"/>
              </a:lnTo>
              <a:lnTo>
                <a:pt x="19737" y="5384"/>
              </a:lnTo>
              <a:lnTo>
                <a:pt x="19466" y="4959"/>
              </a:lnTo>
              <a:lnTo>
                <a:pt x="19175" y="4554"/>
              </a:lnTo>
              <a:lnTo>
                <a:pt x="19020" y="4351"/>
              </a:lnTo>
              <a:lnTo>
                <a:pt x="18861" y="4153"/>
              </a:lnTo>
              <a:lnTo>
                <a:pt x="18701" y="3960"/>
              </a:lnTo>
              <a:lnTo>
                <a:pt x="18536" y="3776"/>
              </a:lnTo>
              <a:lnTo>
                <a:pt x="18362" y="3593"/>
              </a:lnTo>
              <a:lnTo>
                <a:pt x="18188" y="3414"/>
              </a:lnTo>
              <a:lnTo>
                <a:pt x="18430" y="3173"/>
              </a:lnTo>
              <a:lnTo>
                <a:pt x="18614" y="3356"/>
              </a:lnTo>
              <a:lnTo>
                <a:pt x="18788" y="3544"/>
              </a:lnTo>
              <a:lnTo>
                <a:pt x="18962" y="3738"/>
              </a:lnTo>
              <a:lnTo>
                <a:pt x="19127" y="3936"/>
              </a:lnTo>
              <a:lnTo>
                <a:pt x="19291" y="4138"/>
              </a:lnTo>
              <a:lnTo>
                <a:pt x="19446" y="4346"/>
              </a:lnTo>
              <a:lnTo>
                <a:pt x="19601" y="4559"/>
              </a:lnTo>
              <a:lnTo>
                <a:pt x="19751" y="4771"/>
              </a:lnTo>
              <a:lnTo>
                <a:pt x="19892" y="4984"/>
              </a:lnTo>
              <a:lnTo>
                <a:pt x="20032" y="5206"/>
              </a:lnTo>
              <a:lnTo>
                <a:pt x="20163" y="5428"/>
              </a:lnTo>
              <a:lnTo>
                <a:pt x="20414" y="5891"/>
              </a:lnTo>
              <a:lnTo>
                <a:pt x="20530" y="6123"/>
              </a:lnTo>
              <a:lnTo>
                <a:pt x="20642" y="6360"/>
              </a:lnTo>
              <a:lnTo>
                <a:pt x="20845" y="6843"/>
              </a:lnTo>
              <a:lnTo>
                <a:pt x="21029" y="7345"/>
              </a:lnTo>
              <a:lnTo>
                <a:pt x="21184" y="7847"/>
              </a:lnTo>
              <a:lnTo>
                <a:pt x="21256" y="8103"/>
              </a:lnTo>
              <a:lnTo>
                <a:pt x="21319" y="8369"/>
              </a:lnTo>
              <a:lnTo>
                <a:pt x="21377" y="8629"/>
              </a:lnTo>
              <a:lnTo>
                <a:pt x="21426" y="8890"/>
              </a:lnTo>
              <a:lnTo>
                <a:pt x="21469" y="9156"/>
              </a:lnTo>
              <a:lnTo>
                <a:pt x="21508" y="9426"/>
              </a:lnTo>
              <a:lnTo>
                <a:pt x="21542" y="9701"/>
              </a:lnTo>
              <a:lnTo>
                <a:pt x="21566" y="9972"/>
              </a:lnTo>
              <a:lnTo>
                <a:pt x="21585" y="10242"/>
              </a:lnTo>
              <a:lnTo>
                <a:pt x="21595" y="10518"/>
              </a:lnTo>
              <a:lnTo>
                <a:pt x="21600" y="10798"/>
              </a:lnTo>
              <a:lnTo>
                <a:pt x="21252" y="10798"/>
              </a:lnTo>
              <a:close/>
              <a:moveTo>
                <a:pt x="18188" y="3414"/>
              </a:moveTo>
              <a:lnTo>
                <a:pt x="18009" y="3240"/>
              </a:lnTo>
              <a:lnTo>
                <a:pt x="17820" y="3066"/>
              </a:lnTo>
              <a:lnTo>
                <a:pt x="17631" y="2897"/>
              </a:lnTo>
              <a:lnTo>
                <a:pt x="17443" y="2733"/>
              </a:lnTo>
              <a:lnTo>
                <a:pt x="17046" y="2424"/>
              </a:lnTo>
              <a:lnTo>
                <a:pt x="16639" y="2134"/>
              </a:lnTo>
              <a:lnTo>
                <a:pt x="16426" y="1994"/>
              </a:lnTo>
              <a:lnTo>
                <a:pt x="16213" y="1864"/>
              </a:lnTo>
              <a:lnTo>
                <a:pt x="15996" y="1734"/>
              </a:lnTo>
              <a:lnTo>
                <a:pt x="15778" y="1608"/>
              </a:lnTo>
              <a:lnTo>
                <a:pt x="15555" y="1487"/>
              </a:lnTo>
              <a:lnTo>
                <a:pt x="15328" y="1376"/>
              </a:lnTo>
              <a:lnTo>
                <a:pt x="15095" y="1270"/>
              </a:lnTo>
              <a:lnTo>
                <a:pt x="14863" y="1169"/>
              </a:lnTo>
              <a:lnTo>
                <a:pt x="14631" y="1072"/>
              </a:lnTo>
              <a:lnTo>
                <a:pt x="14389" y="980"/>
              </a:lnTo>
              <a:lnTo>
                <a:pt x="14147" y="893"/>
              </a:lnTo>
              <a:lnTo>
                <a:pt x="13900" y="816"/>
              </a:lnTo>
              <a:lnTo>
                <a:pt x="13653" y="744"/>
              </a:lnTo>
              <a:lnTo>
                <a:pt x="13406" y="676"/>
              </a:lnTo>
              <a:lnTo>
                <a:pt x="13155" y="613"/>
              </a:lnTo>
              <a:lnTo>
                <a:pt x="12903" y="560"/>
              </a:lnTo>
              <a:lnTo>
                <a:pt x="12646" y="512"/>
              </a:lnTo>
              <a:lnTo>
                <a:pt x="12390" y="468"/>
              </a:lnTo>
              <a:lnTo>
                <a:pt x="12129" y="430"/>
              </a:lnTo>
              <a:lnTo>
                <a:pt x="11867" y="396"/>
              </a:lnTo>
              <a:lnTo>
                <a:pt x="11606" y="372"/>
              </a:lnTo>
              <a:lnTo>
                <a:pt x="11073" y="343"/>
              </a:lnTo>
              <a:lnTo>
                <a:pt x="10802" y="343"/>
              </a:lnTo>
              <a:lnTo>
                <a:pt x="10802" y="0"/>
              </a:lnTo>
              <a:lnTo>
                <a:pt x="11078" y="5"/>
              </a:lnTo>
              <a:lnTo>
                <a:pt x="11354" y="14"/>
              </a:lnTo>
              <a:lnTo>
                <a:pt x="11630" y="29"/>
              </a:lnTo>
              <a:lnTo>
                <a:pt x="11901" y="53"/>
              </a:lnTo>
              <a:lnTo>
                <a:pt x="12172" y="87"/>
              </a:lnTo>
              <a:lnTo>
                <a:pt x="12443" y="126"/>
              </a:lnTo>
              <a:lnTo>
                <a:pt x="12709" y="169"/>
              </a:lnTo>
              <a:lnTo>
                <a:pt x="12971" y="217"/>
              </a:lnTo>
              <a:lnTo>
                <a:pt x="13232" y="275"/>
              </a:lnTo>
              <a:lnTo>
                <a:pt x="13493" y="338"/>
              </a:lnTo>
              <a:lnTo>
                <a:pt x="13750" y="415"/>
              </a:lnTo>
              <a:lnTo>
                <a:pt x="14002" y="488"/>
              </a:lnTo>
              <a:lnTo>
                <a:pt x="14253" y="570"/>
              </a:lnTo>
              <a:lnTo>
                <a:pt x="14510" y="657"/>
              </a:lnTo>
              <a:lnTo>
                <a:pt x="14757" y="753"/>
              </a:lnTo>
              <a:lnTo>
                <a:pt x="14999" y="850"/>
              </a:lnTo>
              <a:lnTo>
                <a:pt x="15236" y="956"/>
              </a:lnTo>
              <a:lnTo>
                <a:pt x="15473" y="1067"/>
              </a:lnTo>
              <a:lnTo>
                <a:pt x="15710" y="1183"/>
              </a:lnTo>
              <a:lnTo>
                <a:pt x="15942" y="1304"/>
              </a:lnTo>
              <a:lnTo>
                <a:pt x="16170" y="1434"/>
              </a:lnTo>
              <a:lnTo>
                <a:pt x="16392" y="1565"/>
              </a:lnTo>
              <a:lnTo>
                <a:pt x="16610" y="1705"/>
              </a:lnTo>
              <a:lnTo>
                <a:pt x="16828" y="1849"/>
              </a:lnTo>
              <a:lnTo>
                <a:pt x="17254" y="2149"/>
              </a:lnTo>
              <a:lnTo>
                <a:pt x="17457" y="2308"/>
              </a:lnTo>
              <a:lnTo>
                <a:pt x="17660" y="2472"/>
              </a:lnTo>
              <a:lnTo>
                <a:pt x="17859" y="2637"/>
              </a:lnTo>
              <a:lnTo>
                <a:pt x="18057" y="2810"/>
              </a:lnTo>
              <a:lnTo>
                <a:pt x="18246" y="2984"/>
              </a:lnTo>
              <a:lnTo>
                <a:pt x="18430" y="3173"/>
              </a:lnTo>
              <a:lnTo>
                <a:pt x="18188" y="3414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802" y="0"/>
              </a:lnTo>
              <a:lnTo>
                <a:pt x="10802" y="343"/>
              </a:lnTo>
              <a:close/>
              <a:moveTo>
                <a:pt x="10802" y="343"/>
              </a:moveTo>
              <a:lnTo>
                <a:pt x="10527" y="343"/>
              </a:lnTo>
              <a:lnTo>
                <a:pt x="9994" y="372"/>
              </a:lnTo>
              <a:lnTo>
                <a:pt x="9733" y="396"/>
              </a:lnTo>
              <a:lnTo>
                <a:pt x="9471" y="430"/>
              </a:lnTo>
              <a:lnTo>
                <a:pt x="9210" y="468"/>
              </a:lnTo>
              <a:lnTo>
                <a:pt x="8954" y="512"/>
              </a:lnTo>
              <a:lnTo>
                <a:pt x="8697" y="560"/>
              </a:lnTo>
              <a:lnTo>
                <a:pt x="8445" y="613"/>
              </a:lnTo>
              <a:lnTo>
                <a:pt x="8194" y="676"/>
              </a:lnTo>
              <a:lnTo>
                <a:pt x="7947" y="744"/>
              </a:lnTo>
              <a:lnTo>
                <a:pt x="7700" y="816"/>
              </a:lnTo>
              <a:lnTo>
                <a:pt x="7453" y="893"/>
              </a:lnTo>
              <a:lnTo>
                <a:pt x="7211" y="980"/>
              </a:lnTo>
              <a:lnTo>
                <a:pt x="6969" y="1072"/>
              </a:lnTo>
              <a:lnTo>
                <a:pt x="6737" y="1169"/>
              </a:lnTo>
              <a:lnTo>
                <a:pt x="6505" y="1270"/>
              </a:lnTo>
              <a:lnTo>
                <a:pt x="6272" y="1376"/>
              </a:lnTo>
              <a:lnTo>
                <a:pt x="6045" y="1487"/>
              </a:lnTo>
              <a:lnTo>
                <a:pt x="5822" y="1608"/>
              </a:lnTo>
              <a:lnTo>
                <a:pt x="5604" y="1734"/>
              </a:lnTo>
              <a:lnTo>
                <a:pt x="5387" y="1864"/>
              </a:lnTo>
              <a:lnTo>
                <a:pt x="5174" y="1994"/>
              </a:lnTo>
              <a:lnTo>
                <a:pt x="4961" y="2134"/>
              </a:lnTo>
              <a:lnTo>
                <a:pt x="4554" y="2424"/>
              </a:lnTo>
              <a:lnTo>
                <a:pt x="4157" y="2733"/>
              </a:lnTo>
              <a:lnTo>
                <a:pt x="3969" y="2897"/>
              </a:lnTo>
              <a:lnTo>
                <a:pt x="3780" y="3066"/>
              </a:lnTo>
              <a:lnTo>
                <a:pt x="3591" y="3240"/>
              </a:lnTo>
              <a:lnTo>
                <a:pt x="3412" y="3414"/>
              </a:lnTo>
              <a:lnTo>
                <a:pt x="3170" y="3173"/>
              </a:lnTo>
              <a:lnTo>
                <a:pt x="3354" y="2984"/>
              </a:lnTo>
              <a:lnTo>
                <a:pt x="3543" y="2810"/>
              </a:lnTo>
              <a:lnTo>
                <a:pt x="3741" y="2637"/>
              </a:lnTo>
              <a:lnTo>
                <a:pt x="3940" y="2472"/>
              </a:lnTo>
              <a:lnTo>
                <a:pt x="4143" y="2308"/>
              </a:lnTo>
              <a:lnTo>
                <a:pt x="4346" y="2149"/>
              </a:lnTo>
              <a:lnTo>
                <a:pt x="4772" y="1849"/>
              </a:lnTo>
              <a:lnTo>
                <a:pt x="4990" y="1705"/>
              </a:lnTo>
              <a:lnTo>
                <a:pt x="5208" y="1565"/>
              </a:lnTo>
              <a:lnTo>
                <a:pt x="5430" y="1434"/>
              </a:lnTo>
              <a:lnTo>
                <a:pt x="5658" y="1304"/>
              </a:lnTo>
              <a:lnTo>
                <a:pt x="5890" y="1183"/>
              </a:lnTo>
              <a:lnTo>
                <a:pt x="6122" y="1067"/>
              </a:lnTo>
              <a:lnTo>
                <a:pt x="6359" y="956"/>
              </a:lnTo>
              <a:lnTo>
                <a:pt x="6601" y="850"/>
              </a:lnTo>
              <a:lnTo>
                <a:pt x="6843" y="753"/>
              </a:lnTo>
              <a:lnTo>
                <a:pt x="7090" y="657"/>
              </a:lnTo>
              <a:lnTo>
                <a:pt x="7347" y="570"/>
              </a:lnTo>
              <a:lnTo>
                <a:pt x="7598" y="488"/>
              </a:lnTo>
              <a:lnTo>
                <a:pt x="7850" y="415"/>
              </a:lnTo>
              <a:lnTo>
                <a:pt x="8107" y="338"/>
              </a:lnTo>
              <a:lnTo>
                <a:pt x="8368" y="275"/>
              </a:lnTo>
              <a:lnTo>
                <a:pt x="8629" y="217"/>
              </a:lnTo>
              <a:lnTo>
                <a:pt x="8891" y="169"/>
              </a:lnTo>
              <a:lnTo>
                <a:pt x="9157" y="126"/>
              </a:lnTo>
              <a:lnTo>
                <a:pt x="9428" y="87"/>
              </a:lnTo>
              <a:lnTo>
                <a:pt x="9699" y="53"/>
              </a:lnTo>
              <a:lnTo>
                <a:pt x="9970" y="29"/>
              </a:lnTo>
              <a:lnTo>
                <a:pt x="10246" y="14"/>
              </a:lnTo>
              <a:lnTo>
                <a:pt x="10522" y="5"/>
              </a:lnTo>
              <a:lnTo>
                <a:pt x="10802" y="0"/>
              </a:lnTo>
              <a:lnTo>
                <a:pt x="10802" y="343"/>
              </a:lnTo>
              <a:close/>
              <a:moveTo>
                <a:pt x="3412" y="3414"/>
              </a:moveTo>
              <a:lnTo>
                <a:pt x="3238" y="3593"/>
              </a:lnTo>
              <a:lnTo>
                <a:pt x="3064" y="3776"/>
              </a:lnTo>
              <a:lnTo>
                <a:pt x="2899" y="3965"/>
              </a:lnTo>
              <a:lnTo>
                <a:pt x="2739" y="4153"/>
              </a:lnTo>
              <a:lnTo>
                <a:pt x="2580" y="4351"/>
              </a:lnTo>
              <a:lnTo>
                <a:pt x="2425" y="4554"/>
              </a:lnTo>
              <a:lnTo>
                <a:pt x="2134" y="4959"/>
              </a:lnTo>
              <a:lnTo>
                <a:pt x="1863" y="5384"/>
              </a:lnTo>
              <a:lnTo>
                <a:pt x="1733" y="5602"/>
              </a:lnTo>
              <a:lnTo>
                <a:pt x="1612" y="5824"/>
              </a:lnTo>
              <a:lnTo>
                <a:pt x="1495" y="6046"/>
              </a:lnTo>
              <a:lnTo>
                <a:pt x="1379" y="6273"/>
              </a:lnTo>
              <a:lnTo>
                <a:pt x="1273" y="6505"/>
              </a:lnTo>
              <a:lnTo>
                <a:pt x="1171" y="6736"/>
              </a:lnTo>
              <a:lnTo>
                <a:pt x="1074" y="6968"/>
              </a:lnTo>
              <a:lnTo>
                <a:pt x="982" y="7210"/>
              </a:lnTo>
              <a:lnTo>
                <a:pt x="900" y="7451"/>
              </a:lnTo>
              <a:lnTo>
                <a:pt x="818" y="7697"/>
              </a:lnTo>
              <a:lnTo>
                <a:pt x="745" y="7939"/>
              </a:lnTo>
              <a:lnTo>
                <a:pt x="678" y="8190"/>
              </a:lnTo>
              <a:lnTo>
                <a:pt x="615" y="8446"/>
              </a:lnTo>
              <a:lnTo>
                <a:pt x="561" y="8697"/>
              </a:lnTo>
              <a:lnTo>
                <a:pt x="513" y="8953"/>
              </a:lnTo>
              <a:lnTo>
                <a:pt x="469" y="9209"/>
              </a:lnTo>
              <a:lnTo>
                <a:pt x="431" y="9470"/>
              </a:lnTo>
              <a:lnTo>
                <a:pt x="402" y="9735"/>
              </a:lnTo>
              <a:lnTo>
                <a:pt x="378" y="9996"/>
              </a:lnTo>
              <a:lnTo>
                <a:pt x="363" y="10262"/>
              </a:lnTo>
              <a:lnTo>
                <a:pt x="353" y="10527"/>
              </a:lnTo>
              <a:lnTo>
                <a:pt x="348" y="10798"/>
              </a:lnTo>
              <a:lnTo>
                <a:pt x="0" y="10798"/>
              </a:lnTo>
              <a:lnTo>
                <a:pt x="5" y="10518"/>
              </a:lnTo>
              <a:lnTo>
                <a:pt x="15" y="10242"/>
              </a:lnTo>
              <a:lnTo>
                <a:pt x="34" y="9972"/>
              </a:lnTo>
              <a:lnTo>
                <a:pt x="58" y="9697"/>
              </a:lnTo>
              <a:lnTo>
                <a:pt x="92" y="9426"/>
              </a:lnTo>
              <a:lnTo>
                <a:pt x="131" y="9156"/>
              </a:lnTo>
              <a:lnTo>
                <a:pt x="174" y="8890"/>
              </a:lnTo>
              <a:lnTo>
                <a:pt x="223" y="8629"/>
              </a:lnTo>
              <a:lnTo>
                <a:pt x="281" y="8369"/>
              </a:lnTo>
              <a:lnTo>
                <a:pt x="344" y="8103"/>
              </a:lnTo>
              <a:lnTo>
                <a:pt x="416" y="7847"/>
              </a:lnTo>
              <a:lnTo>
                <a:pt x="494" y="7591"/>
              </a:lnTo>
              <a:lnTo>
                <a:pt x="571" y="7345"/>
              </a:lnTo>
              <a:lnTo>
                <a:pt x="755" y="6843"/>
              </a:lnTo>
              <a:lnTo>
                <a:pt x="958" y="6360"/>
              </a:lnTo>
              <a:lnTo>
                <a:pt x="1070" y="6123"/>
              </a:lnTo>
              <a:lnTo>
                <a:pt x="1186" y="5891"/>
              </a:lnTo>
              <a:lnTo>
                <a:pt x="1437" y="5428"/>
              </a:lnTo>
              <a:lnTo>
                <a:pt x="1568" y="5206"/>
              </a:lnTo>
              <a:lnTo>
                <a:pt x="1708" y="4984"/>
              </a:lnTo>
              <a:lnTo>
                <a:pt x="1849" y="4771"/>
              </a:lnTo>
              <a:lnTo>
                <a:pt x="1999" y="4559"/>
              </a:lnTo>
              <a:lnTo>
                <a:pt x="2154" y="4346"/>
              </a:lnTo>
              <a:lnTo>
                <a:pt x="2309" y="4138"/>
              </a:lnTo>
              <a:lnTo>
                <a:pt x="2473" y="3936"/>
              </a:lnTo>
              <a:lnTo>
                <a:pt x="2638" y="3738"/>
              </a:lnTo>
              <a:lnTo>
                <a:pt x="2812" y="3544"/>
              </a:lnTo>
              <a:lnTo>
                <a:pt x="2986" y="3356"/>
              </a:lnTo>
              <a:lnTo>
                <a:pt x="3170" y="3173"/>
              </a:lnTo>
              <a:lnTo>
                <a:pt x="3412" y="3414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0" y="10798"/>
              </a:lnTo>
              <a:lnTo>
                <a:pt x="348" y="10798"/>
              </a:lnTo>
              <a:close/>
              <a:moveTo>
                <a:pt x="348" y="10798"/>
              </a:moveTo>
              <a:lnTo>
                <a:pt x="353" y="11068"/>
              </a:lnTo>
              <a:lnTo>
                <a:pt x="363" y="11338"/>
              </a:lnTo>
              <a:lnTo>
                <a:pt x="378" y="11599"/>
              </a:lnTo>
              <a:lnTo>
                <a:pt x="402" y="11865"/>
              </a:lnTo>
              <a:lnTo>
                <a:pt x="431" y="12126"/>
              </a:lnTo>
              <a:lnTo>
                <a:pt x="469" y="12391"/>
              </a:lnTo>
              <a:lnTo>
                <a:pt x="513" y="12647"/>
              </a:lnTo>
              <a:lnTo>
                <a:pt x="561" y="12903"/>
              </a:lnTo>
              <a:lnTo>
                <a:pt x="615" y="13154"/>
              </a:lnTo>
              <a:lnTo>
                <a:pt x="678" y="13405"/>
              </a:lnTo>
              <a:lnTo>
                <a:pt x="745" y="13656"/>
              </a:lnTo>
              <a:lnTo>
                <a:pt x="818" y="13903"/>
              </a:lnTo>
              <a:lnTo>
                <a:pt x="900" y="14149"/>
              </a:lnTo>
              <a:lnTo>
                <a:pt x="982" y="14386"/>
              </a:lnTo>
              <a:lnTo>
                <a:pt x="1074" y="14627"/>
              </a:lnTo>
              <a:lnTo>
                <a:pt x="1171" y="14864"/>
              </a:lnTo>
              <a:lnTo>
                <a:pt x="1273" y="15095"/>
              </a:lnTo>
              <a:lnTo>
                <a:pt x="1379" y="15327"/>
              </a:lnTo>
              <a:lnTo>
                <a:pt x="1495" y="15549"/>
              </a:lnTo>
              <a:lnTo>
                <a:pt x="1612" y="15776"/>
              </a:lnTo>
              <a:lnTo>
                <a:pt x="1733" y="15994"/>
              </a:lnTo>
              <a:lnTo>
                <a:pt x="1863" y="16216"/>
              </a:lnTo>
              <a:lnTo>
                <a:pt x="2134" y="16641"/>
              </a:lnTo>
              <a:lnTo>
                <a:pt x="2425" y="17046"/>
              </a:lnTo>
              <a:lnTo>
                <a:pt x="2580" y="17244"/>
              </a:lnTo>
              <a:lnTo>
                <a:pt x="2739" y="17442"/>
              </a:lnTo>
              <a:lnTo>
                <a:pt x="2899" y="17635"/>
              </a:lnTo>
              <a:lnTo>
                <a:pt x="3064" y="17824"/>
              </a:lnTo>
              <a:lnTo>
                <a:pt x="3238" y="18007"/>
              </a:lnTo>
              <a:lnTo>
                <a:pt x="3412" y="18186"/>
              </a:lnTo>
              <a:lnTo>
                <a:pt x="3170" y="18427"/>
              </a:lnTo>
              <a:lnTo>
                <a:pt x="2986" y="18244"/>
              </a:lnTo>
              <a:lnTo>
                <a:pt x="2812" y="18056"/>
              </a:lnTo>
              <a:lnTo>
                <a:pt x="2638" y="17862"/>
              </a:lnTo>
              <a:lnTo>
                <a:pt x="2473" y="17664"/>
              </a:lnTo>
              <a:lnTo>
                <a:pt x="2309" y="17457"/>
              </a:lnTo>
              <a:lnTo>
                <a:pt x="2154" y="17254"/>
              </a:lnTo>
              <a:lnTo>
                <a:pt x="1999" y="17041"/>
              </a:lnTo>
              <a:lnTo>
                <a:pt x="1849" y="16829"/>
              </a:lnTo>
              <a:lnTo>
                <a:pt x="1568" y="16394"/>
              </a:lnTo>
              <a:lnTo>
                <a:pt x="1437" y="16163"/>
              </a:lnTo>
              <a:lnTo>
                <a:pt x="1186" y="15709"/>
              </a:lnTo>
              <a:lnTo>
                <a:pt x="1070" y="15472"/>
              </a:lnTo>
              <a:lnTo>
                <a:pt x="958" y="15235"/>
              </a:lnTo>
              <a:lnTo>
                <a:pt x="857" y="14999"/>
              </a:lnTo>
              <a:lnTo>
                <a:pt x="755" y="14753"/>
              </a:lnTo>
              <a:lnTo>
                <a:pt x="663" y="14506"/>
              </a:lnTo>
              <a:lnTo>
                <a:pt x="571" y="14255"/>
              </a:lnTo>
              <a:lnTo>
                <a:pt x="416" y="13753"/>
              </a:lnTo>
              <a:lnTo>
                <a:pt x="344" y="13492"/>
              </a:lnTo>
              <a:lnTo>
                <a:pt x="281" y="13231"/>
              </a:lnTo>
              <a:lnTo>
                <a:pt x="223" y="12971"/>
              </a:lnTo>
              <a:lnTo>
                <a:pt x="174" y="12705"/>
              </a:lnTo>
              <a:lnTo>
                <a:pt x="131" y="12439"/>
              </a:lnTo>
              <a:lnTo>
                <a:pt x="92" y="12169"/>
              </a:lnTo>
              <a:lnTo>
                <a:pt x="58" y="11899"/>
              </a:lnTo>
              <a:lnTo>
                <a:pt x="34" y="11628"/>
              </a:lnTo>
              <a:lnTo>
                <a:pt x="15" y="11353"/>
              </a:lnTo>
              <a:lnTo>
                <a:pt x="5" y="11078"/>
              </a:lnTo>
              <a:lnTo>
                <a:pt x="0" y="10798"/>
              </a:lnTo>
              <a:lnTo>
                <a:pt x="348" y="10798"/>
              </a:lnTo>
              <a:close/>
              <a:moveTo>
                <a:pt x="3412" y="18186"/>
              </a:moveTo>
              <a:lnTo>
                <a:pt x="3591" y="18360"/>
              </a:lnTo>
              <a:lnTo>
                <a:pt x="3969" y="18698"/>
              </a:lnTo>
              <a:lnTo>
                <a:pt x="4157" y="18862"/>
              </a:lnTo>
              <a:lnTo>
                <a:pt x="4356" y="19021"/>
              </a:lnTo>
              <a:lnTo>
                <a:pt x="4554" y="19171"/>
              </a:lnTo>
              <a:lnTo>
                <a:pt x="4758" y="19321"/>
              </a:lnTo>
              <a:lnTo>
                <a:pt x="4961" y="19466"/>
              </a:lnTo>
              <a:lnTo>
                <a:pt x="5387" y="19736"/>
              </a:lnTo>
              <a:lnTo>
                <a:pt x="5822" y="19987"/>
              </a:lnTo>
              <a:lnTo>
                <a:pt x="6045" y="20103"/>
              </a:lnTo>
              <a:lnTo>
                <a:pt x="6272" y="20224"/>
              </a:lnTo>
              <a:lnTo>
                <a:pt x="6505" y="20330"/>
              </a:lnTo>
              <a:lnTo>
                <a:pt x="6737" y="20431"/>
              </a:lnTo>
              <a:lnTo>
                <a:pt x="6969" y="20528"/>
              </a:lnTo>
              <a:lnTo>
                <a:pt x="7211" y="20620"/>
              </a:lnTo>
              <a:lnTo>
                <a:pt x="7453" y="20702"/>
              </a:lnTo>
              <a:lnTo>
                <a:pt x="7700" y="20784"/>
              </a:lnTo>
              <a:lnTo>
                <a:pt x="7947" y="20856"/>
              </a:lnTo>
              <a:lnTo>
                <a:pt x="8194" y="20924"/>
              </a:lnTo>
              <a:lnTo>
                <a:pt x="8445" y="20987"/>
              </a:lnTo>
              <a:lnTo>
                <a:pt x="8697" y="21040"/>
              </a:lnTo>
              <a:lnTo>
                <a:pt x="8954" y="21088"/>
              </a:lnTo>
              <a:lnTo>
                <a:pt x="9210" y="21132"/>
              </a:lnTo>
              <a:lnTo>
                <a:pt x="9471" y="21170"/>
              </a:lnTo>
              <a:lnTo>
                <a:pt x="9733" y="21199"/>
              </a:lnTo>
              <a:lnTo>
                <a:pt x="9994" y="21223"/>
              </a:lnTo>
              <a:lnTo>
                <a:pt x="10260" y="21238"/>
              </a:lnTo>
              <a:lnTo>
                <a:pt x="10527" y="21247"/>
              </a:lnTo>
              <a:lnTo>
                <a:pt x="10802" y="21252"/>
              </a:lnTo>
              <a:lnTo>
                <a:pt x="10802" y="21600"/>
              </a:lnTo>
              <a:lnTo>
                <a:pt x="10517" y="21595"/>
              </a:lnTo>
              <a:lnTo>
                <a:pt x="10246" y="21586"/>
              </a:lnTo>
              <a:lnTo>
                <a:pt x="9970" y="21566"/>
              </a:lnTo>
              <a:lnTo>
                <a:pt x="9699" y="21542"/>
              </a:lnTo>
              <a:lnTo>
                <a:pt x="9428" y="21513"/>
              </a:lnTo>
              <a:lnTo>
                <a:pt x="9157" y="21474"/>
              </a:lnTo>
              <a:lnTo>
                <a:pt x="8891" y="21426"/>
              </a:lnTo>
              <a:lnTo>
                <a:pt x="8368" y="21320"/>
              </a:lnTo>
              <a:lnTo>
                <a:pt x="8107" y="21257"/>
              </a:lnTo>
              <a:lnTo>
                <a:pt x="7850" y="21185"/>
              </a:lnTo>
              <a:lnTo>
                <a:pt x="7598" y="21107"/>
              </a:lnTo>
              <a:lnTo>
                <a:pt x="7347" y="21025"/>
              </a:lnTo>
              <a:lnTo>
                <a:pt x="7090" y="20938"/>
              </a:lnTo>
              <a:lnTo>
                <a:pt x="6843" y="20847"/>
              </a:lnTo>
              <a:lnTo>
                <a:pt x="6359" y="20644"/>
              </a:lnTo>
              <a:lnTo>
                <a:pt x="6122" y="20533"/>
              </a:lnTo>
              <a:lnTo>
                <a:pt x="5890" y="20417"/>
              </a:lnTo>
              <a:lnTo>
                <a:pt x="5658" y="20291"/>
              </a:lnTo>
              <a:lnTo>
                <a:pt x="5430" y="20166"/>
              </a:lnTo>
              <a:lnTo>
                <a:pt x="5208" y="20031"/>
              </a:lnTo>
              <a:lnTo>
                <a:pt x="4990" y="19891"/>
              </a:lnTo>
              <a:lnTo>
                <a:pt x="4772" y="19746"/>
              </a:lnTo>
              <a:lnTo>
                <a:pt x="4559" y="19601"/>
              </a:lnTo>
              <a:lnTo>
                <a:pt x="4346" y="19446"/>
              </a:lnTo>
              <a:lnTo>
                <a:pt x="4143" y="19292"/>
              </a:lnTo>
              <a:lnTo>
                <a:pt x="3940" y="19128"/>
              </a:lnTo>
              <a:lnTo>
                <a:pt x="3741" y="18959"/>
              </a:lnTo>
              <a:lnTo>
                <a:pt x="3543" y="18785"/>
              </a:lnTo>
              <a:lnTo>
                <a:pt x="3354" y="18606"/>
              </a:lnTo>
              <a:lnTo>
                <a:pt x="3170" y="18427"/>
              </a:lnTo>
              <a:lnTo>
                <a:pt x="3412" y="18186"/>
              </a:lnTo>
              <a:close/>
              <a:moveTo>
                <a:pt x="10802" y="21252"/>
              </a:moveTo>
              <a:lnTo>
                <a:pt x="10802" y="21600"/>
              </a:lnTo>
              <a:lnTo>
                <a:pt x="10802" y="21252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12</xdr:row>
      <xdr:rowOff>28574</xdr:rowOff>
    </xdr:from>
    <xdr:to>
      <xdr:col>6</xdr:col>
      <xdr:colOff>25399</xdr:colOff>
      <xdr:row>16</xdr:row>
      <xdr:rowOff>19049</xdr:rowOff>
    </xdr:to>
    <xdr:sp macro="" textlink="">
      <xdr:nvSpPr>
        <xdr:cNvPr id="105" name="Shape 105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/>
      </xdr:nvSpPr>
      <xdr:spPr>
        <a:xfrm>
          <a:off x="6870700" y="2047874"/>
          <a:ext cx="647700" cy="647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0" y="21600"/>
              </a:moveTo>
              <a:lnTo>
                <a:pt x="11352" y="21588"/>
              </a:lnTo>
              <a:lnTo>
                <a:pt x="11898" y="21546"/>
              </a:lnTo>
              <a:lnTo>
                <a:pt x="12438" y="21474"/>
              </a:lnTo>
              <a:lnTo>
                <a:pt x="12972" y="21378"/>
              </a:lnTo>
              <a:lnTo>
                <a:pt x="13488" y="21259"/>
              </a:lnTo>
              <a:lnTo>
                <a:pt x="14004" y="21115"/>
              </a:lnTo>
              <a:lnTo>
                <a:pt x="14502" y="20947"/>
              </a:lnTo>
              <a:lnTo>
                <a:pt x="14994" y="20750"/>
              </a:lnTo>
              <a:lnTo>
                <a:pt x="15474" y="20528"/>
              </a:lnTo>
              <a:lnTo>
                <a:pt x="15942" y="20295"/>
              </a:lnTo>
              <a:lnTo>
                <a:pt x="16392" y="20031"/>
              </a:lnTo>
              <a:lnTo>
                <a:pt x="16830" y="19750"/>
              </a:lnTo>
              <a:lnTo>
                <a:pt x="17256" y="19451"/>
              </a:lnTo>
              <a:lnTo>
                <a:pt x="17658" y="19133"/>
              </a:lnTo>
              <a:lnTo>
                <a:pt x="18054" y="18786"/>
              </a:lnTo>
              <a:lnTo>
                <a:pt x="18426" y="18433"/>
              </a:lnTo>
              <a:lnTo>
                <a:pt x="18786" y="18056"/>
              </a:lnTo>
              <a:lnTo>
                <a:pt x="19122" y="17667"/>
              </a:lnTo>
              <a:lnTo>
                <a:pt x="19446" y="17254"/>
              </a:lnTo>
              <a:lnTo>
                <a:pt x="19752" y="16829"/>
              </a:lnTo>
              <a:lnTo>
                <a:pt x="20034" y="16392"/>
              </a:lnTo>
              <a:lnTo>
                <a:pt x="20292" y="15943"/>
              </a:lnTo>
              <a:lnTo>
                <a:pt x="20532" y="15476"/>
              </a:lnTo>
              <a:lnTo>
                <a:pt x="20748" y="14997"/>
              </a:lnTo>
              <a:lnTo>
                <a:pt x="20940" y="14506"/>
              </a:lnTo>
              <a:lnTo>
                <a:pt x="21114" y="14003"/>
              </a:lnTo>
              <a:lnTo>
                <a:pt x="21258" y="13494"/>
              </a:lnTo>
              <a:lnTo>
                <a:pt x="21378" y="12973"/>
              </a:lnTo>
              <a:lnTo>
                <a:pt x="21474" y="12440"/>
              </a:lnTo>
              <a:lnTo>
                <a:pt x="21540" y="11902"/>
              </a:lnTo>
              <a:lnTo>
                <a:pt x="21582" y="11357"/>
              </a:lnTo>
              <a:lnTo>
                <a:pt x="21600" y="10794"/>
              </a:lnTo>
              <a:lnTo>
                <a:pt x="21582" y="10243"/>
              </a:lnTo>
              <a:lnTo>
                <a:pt x="21540" y="9698"/>
              </a:lnTo>
              <a:lnTo>
                <a:pt x="21474" y="9154"/>
              </a:lnTo>
              <a:lnTo>
                <a:pt x="21378" y="8627"/>
              </a:lnTo>
              <a:lnTo>
                <a:pt x="21258" y="8106"/>
              </a:lnTo>
              <a:lnTo>
                <a:pt x="21114" y="7591"/>
              </a:lnTo>
              <a:lnTo>
                <a:pt x="20940" y="7088"/>
              </a:lnTo>
              <a:lnTo>
                <a:pt x="20748" y="6603"/>
              </a:lnTo>
              <a:lnTo>
                <a:pt x="20532" y="6124"/>
              </a:lnTo>
              <a:lnTo>
                <a:pt x="20292" y="5657"/>
              </a:lnTo>
              <a:lnTo>
                <a:pt x="20034" y="5202"/>
              </a:lnTo>
              <a:lnTo>
                <a:pt x="19752" y="4765"/>
              </a:lnTo>
              <a:lnTo>
                <a:pt x="19446" y="4340"/>
              </a:lnTo>
              <a:lnTo>
                <a:pt x="19122" y="3933"/>
              </a:lnTo>
              <a:lnTo>
                <a:pt x="18786" y="3544"/>
              </a:lnTo>
              <a:lnTo>
                <a:pt x="18426" y="3167"/>
              </a:lnTo>
              <a:lnTo>
                <a:pt x="18054" y="2814"/>
              </a:lnTo>
              <a:lnTo>
                <a:pt x="17658" y="2467"/>
              </a:lnTo>
              <a:lnTo>
                <a:pt x="17256" y="2149"/>
              </a:lnTo>
              <a:lnTo>
                <a:pt x="16830" y="1844"/>
              </a:lnTo>
              <a:lnTo>
                <a:pt x="16392" y="1569"/>
              </a:lnTo>
              <a:lnTo>
                <a:pt x="15942" y="1305"/>
              </a:lnTo>
              <a:lnTo>
                <a:pt x="15474" y="1060"/>
              </a:lnTo>
              <a:lnTo>
                <a:pt x="14994" y="844"/>
              </a:lnTo>
              <a:lnTo>
                <a:pt x="14502" y="653"/>
              </a:lnTo>
              <a:lnTo>
                <a:pt x="14004" y="485"/>
              </a:lnTo>
              <a:lnTo>
                <a:pt x="13488" y="335"/>
              </a:lnTo>
              <a:lnTo>
                <a:pt x="12972" y="216"/>
              </a:lnTo>
              <a:lnTo>
                <a:pt x="12438" y="126"/>
              </a:lnTo>
              <a:lnTo>
                <a:pt x="11898" y="54"/>
              </a:lnTo>
              <a:lnTo>
                <a:pt x="11352" y="12"/>
              </a:lnTo>
              <a:lnTo>
                <a:pt x="10800" y="0"/>
              </a:lnTo>
              <a:lnTo>
                <a:pt x="10242" y="12"/>
              </a:lnTo>
              <a:lnTo>
                <a:pt x="9696" y="54"/>
              </a:lnTo>
              <a:lnTo>
                <a:pt x="9156" y="126"/>
              </a:lnTo>
              <a:lnTo>
                <a:pt x="8628" y="216"/>
              </a:lnTo>
              <a:lnTo>
                <a:pt x="8106" y="335"/>
              </a:lnTo>
              <a:lnTo>
                <a:pt x="7596" y="485"/>
              </a:lnTo>
              <a:lnTo>
                <a:pt x="7092" y="653"/>
              </a:lnTo>
              <a:lnTo>
                <a:pt x="6606" y="844"/>
              </a:lnTo>
              <a:lnTo>
                <a:pt x="6120" y="1060"/>
              </a:lnTo>
              <a:lnTo>
                <a:pt x="5652" y="1305"/>
              </a:lnTo>
              <a:lnTo>
                <a:pt x="5202" y="1569"/>
              </a:lnTo>
              <a:lnTo>
                <a:pt x="4764" y="1844"/>
              </a:lnTo>
              <a:lnTo>
                <a:pt x="4344" y="2149"/>
              </a:lnTo>
              <a:lnTo>
                <a:pt x="3936" y="2467"/>
              </a:lnTo>
              <a:lnTo>
                <a:pt x="3540" y="2814"/>
              </a:lnTo>
              <a:lnTo>
                <a:pt x="3168" y="3167"/>
              </a:lnTo>
              <a:lnTo>
                <a:pt x="2808" y="3544"/>
              </a:lnTo>
              <a:lnTo>
                <a:pt x="2472" y="3933"/>
              </a:lnTo>
              <a:lnTo>
                <a:pt x="2148" y="4340"/>
              </a:lnTo>
              <a:lnTo>
                <a:pt x="1842" y="4765"/>
              </a:lnTo>
              <a:lnTo>
                <a:pt x="1560" y="5202"/>
              </a:lnTo>
              <a:lnTo>
                <a:pt x="1302" y="5657"/>
              </a:lnTo>
              <a:lnTo>
                <a:pt x="1062" y="6124"/>
              </a:lnTo>
              <a:lnTo>
                <a:pt x="846" y="6603"/>
              </a:lnTo>
              <a:lnTo>
                <a:pt x="654" y="7088"/>
              </a:lnTo>
              <a:lnTo>
                <a:pt x="486" y="7591"/>
              </a:lnTo>
              <a:lnTo>
                <a:pt x="336" y="8106"/>
              </a:lnTo>
              <a:lnTo>
                <a:pt x="216" y="8627"/>
              </a:lnTo>
              <a:lnTo>
                <a:pt x="120" y="9154"/>
              </a:lnTo>
              <a:lnTo>
                <a:pt x="54" y="9698"/>
              </a:lnTo>
              <a:lnTo>
                <a:pt x="12" y="10243"/>
              </a:lnTo>
              <a:lnTo>
                <a:pt x="0" y="10794"/>
              </a:lnTo>
              <a:lnTo>
                <a:pt x="12" y="11357"/>
              </a:lnTo>
              <a:lnTo>
                <a:pt x="54" y="11902"/>
              </a:lnTo>
              <a:lnTo>
                <a:pt x="120" y="12440"/>
              </a:lnTo>
              <a:lnTo>
                <a:pt x="216" y="12973"/>
              </a:lnTo>
              <a:lnTo>
                <a:pt x="336" y="13494"/>
              </a:lnTo>
              <a:lnTo>
                <a:pt x="486" y="14003"/>
              </a:lnTo>
              <a:lnTo>
                <a:pt x="654" y="14506"/>
              </a:lnTo>
              <a:lnTo>
                <a:pt x="846" y="14997"/>
              </a:lnTo>
              <a:lnTo>
                <a:pt x="1062" y="15476"/>
              </a:lnTo>
              <a:lnTo>
                <a:pt x="1302" y="15943"/>
              </a:lnTo>
              <a:lnTo>
                <a:pt x="1560" y="16392"/>
              </a:lnTo>
              <a:lnTo>
                <a:pt x="1842" y="16829"/>
              </a:lnTo>
              <a:lnTo>
                <a:pt x="2148" y="17254"/>
              </a:lnTo>
              <a:lnTo>
                <a:pt x="2472" y="17667"/>
              </a:lnTo>
              <a:lnTo>
                <a:pt x="2808" y="18056"/>
              </a:lnTo>
              <a:lnTo>
                <a:pt x="3168" y="18433"/>
              </a:lnTo>
              <a:lnTo>
                <a:pt x="3540" y="18786"/>
              </a:lnTo>
              <a:lnTo>
                <a:pt x="3936" y="19133"/>
              </a:lnTo>
              <a:lnTo>
                <a:pt x="4344" y="19451"/>
              </a:lnTo>
              <a:lnTo>
                <a:pt x="4764" y="19750"/>
              </a:lnTo>
              <a:lnTo>
                <a:pt x="5202" y="20031"/>
              </a:lnTo>
              <a:lnTo>
                <a:pt x="5652" y="20295"/>
              </a:lnTo>
              <a:lnTo>
                <a:pt x="6120" y="20528"/>
              </a:lnTo>
              <a:lnTo>
                <a:pt x="6606" y="20750"/>
              </a:lnTo>
              <a:lnTo>
                <a:pt x="7092" y="20947"/>
              </a:lnTo>
              <a:lnTo>
                <a:pt x="7596" y="21115"/>
              </a:lnTo>
              <a:lnTo>
                <a:pt x="8106" y="21259"/>
              </a:lnTo>
              <a:lnTo>
                <a:pt x="8628" y="21378"/>
              </a:lnTo>
              <a:lnTo>
                <a:pt x="9156" y="21474"/>
              </a:lnTo>
              <a:lnTo>
                <a:pt x="9696" y="21546"/>
              </a:lnTo>
              <a:lnTo>
                <a:pt x="10242" y="21588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104775</xdr:colOff>
      <xdr:row>12</xdr:row>
      <xdr:rowOff>19049</xdr:rowOff>
    </xdr:from>
    <xdr:to>
      <xdr:col>6</xdr:col>
      <xdr:colOff>25400</xdr:colOff>
      <xdr:row>16</xdr:row>
      <xdr:rowOff>28574</xdr:rowOff>
    </xdr:to>
    <xdr:sp macro="" textlink="">
      <xdr:nvSpPr>
        <xdr:cNvPr id="106" name="Shape 106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/>
      </xdr:nvSpPr>
      <xdr:spPr>
        <a:xfrm>
          <a:off x="6861175" y="2038349"/>
          <a:ext cx="657225" cy="66675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  <a:moveTo>
                <a:pt x="10803" y="21183"/>
              </a:moveTo>
              <a:lnTo>
                <a:pt x="11074" y="21177"/>
              </a:lnTo>
              <a:lnTo>
                <a:pt x="11338" y="21166"/>
              </a:lnTo>
              <a:lnTo>
                <a:pt x="11597" y="21154"/>
              </a:lnTo>
              <a:lnTo>
                <a:pt x="11862" y="21130"/>
              </a:lnTo>
              <a:lnTo>
                <a:pt x="12380" y="21060"/>
              </a:lnTo>
              <a:lnTo>
                <a:pt x="12633" y="21019"/>
              </a:lnTo>
              <a:lnTo>
                <a:pt x="12892" y="20972"/>
              </a:lnTo>
              <a:lnTo>
                <a:pt x="13139" y="20913"/>
              </a:lnTo>
              <a:lnTo>
                <a:pt x="13392" y="20855"/>
              </a:lnTo>
              <a:lnTo>
                <a:pt x="13639" y="20790"/>
              </a:lnTo>
              <a:lnTo>
                <a:pt x="14121" y="20637"/>
              </a:lnTo>
              <a:lnTo>
                <a:pt x="14363" y="20549"/>
              </a:lnTo>
              <a:lnTo>
                <a:pt x="14833" y="20362"/>
              </a:lnTo>
              <a:lnTo>
                <a:pt x="15063" y="20262"/>
              </a:lnTo>
              <a:lnTo>
                <a:pt x="15298" y="20150"/>
              </a:lnTo>
              <a:lnTo>
                <a:pt x="15522" y="20039"/>
              </a:lnTo>
              <a:lnTo>
                <a:pt x="15745" y="19921"/>
              </a:lnTo>
              <a:lnTo>
                <a:pt x="15963" y="19804"/>
              </a:lnTo>
              <a:lnTo>
                <a:pt x="16181" y="19675"/>
              </a:lnTo>
              <a:lnTo>
                <a:pt x="16393" y="19540"/>
              </a:lnTo>
              <a:lnTo>
                <a:pt x="16599" y="19405"/>
              </a:lnTo>
              <a:lnTo>
                <a:pt x="16805" y="19264"/>
              </a:lnTo>
              <a:lnTo>
                <a:pt x="17005" y="19117"/>
              </a:lnTo>
              <a:lnTo>
                <a:pt x="17205" y="18965"/>
              </a:lnTo>
              <a:lnTo>
                <a:pt x="17399" y="18800"/>
              </a:lnTo>
              <a:lnTo>
                <a:pt x="17587" y="18642"/>
              </a:lnTo>
              <a:lnTo>
                <a:pt x="17775" y="18477"/>
              </a:lnTo>
              <a:lnTo>
                <a:pt x="17958" y="18307"/>
              </a:lnTo>
              <a:lnTo>
                <a:pt x="18134" y="18131"/>
              </a:lnTo>
              <a:lnTo>
                <a:pt x="18429" y="18430"/>
              </a:lnTo>
              <a:lnTo>
                <a:pt x="18246" y="18607"/>
              </a:lnTo>
              <a:lnTo>
                <a:pt x="18058" y="18783"/>
              </a:lnTo>
              <a:lnTo>
                <a:pt x="17864" y="18965"/>
              </a:lnTo>
              <a:lnTo>
                <a:pt x="17464" y="19293"/>
              </a:lnTo>
              <a:lnTo>
                <a:pt x="17258" y="19452"/>
              </a:lnTo>
              <a:lnTo>
                <a:pt x="17046" y="19604"/>
              </a:lnTo>
              <a:lnTo>
                <a:pt x="16834" y="19751"/>
              </a:lnTo>
              <a:lnTo>
                <a:pt x="16616" y="19892"/>
              </a:lnTo>
              <a:lnTo>
                <a:pt x="16393" y="20033"/>
              </a:lnTo>
              <a:lnTo>
                <a:pt x="15946" y="20291"/>
              </a:lnTo>
              <a:lnTo>
                <a:pt x="15710" y="20408"/>
              </a:lnTo>
              <a:lnTo>
                <a:pt x="15481" y="20526"/>
              </a:lnTo>
              <a:lnTo>
                <a:pt x="15239" y="20643"/>
              </a:lnTo>
              <a:lnTo>
                <a:pt x="14998" y="20749"/>
              </a:lnTo>
              <a:lnTo>
                <a:pt x="14751" y="20849"/>
              </a:lnTo>
              <a:lnTo>
                <a:pt x="14504" y="20943"/>
              </a:lnTo>
              <a:lnTo>
                <a:pt x="14257" y="21031"/>
              </a:lnTo>
              <a:lnTo>
                <a:pt x="14004" y="21113"/>
              </a:lnTo>
              <a:lnTo>
                <a:pt x="13751" y="21189"/>
              </a:lnTo>
              <a:lnTo>
                <a:pt x="13492" y="21260"/>
              </a:lnTo>
              <a:lnTo>
                <a:pt x="12974" y="21377"/>
              </a:lnTo>
              <a:lnTo>
                <a:pt x="12709" y="21430"/>
              </a:lnTo>
              <a:lnTo>
                <a:pt x="12445" y="21471"/>
              </a:lnTo>
              <a:lnTo>
                <a:pt x="12174" y="21512"/>
              </a:lnTo>
              <a:lnTo>
                <a:pt x="11903" y="21541"/>
              </a:lnTo>
              <a:lnTo>
                <a:pt x="11633" y="21565"/>
              </a:lnTo>
              <a:lnTo>
                <a:pt x="11356" y="21582"/>
              </a:lnTo>
              <a:lnTo>
                <a:pt x="11079" y="21594"/>
              </a:lnTo>
              <a:lnTo>
                <a:pt x="10803" y="21600"/>
              </a:lnTo>
              <a:lnTo>
                <a:pt x="10803" y="21183"/>
              </a:lnTo>
              <a:close/>
              <a:moveTo>
                <a:pt x="18134" y="18131"/>
              </a:moveTo>
              <a:lnTo>
                <a:pt x="18311" y="17955"/>
              </a:lnTo>
              <a:lnTo>
                <a:pt x="18482" y="17773"/>
              </a:lnTo>
              <a:lnTo>
                <a:pt x="18646" y="17591"/>
              </a:lnTo>
              <a:lnTo>
                <a:pt x="18805" y="17397"/>
              </a:lnTo>
              <a:lnTo>
                <a:pt x="18964" y="17198"/>
              </a:lnTo>
              <a:lnTo>
                <a:pt x="19111" y="17004"/>
              </a:lnTo>
              <a:lnTo>
                <a:pt x="19258" y="16799"/>
              </a:lnTo>
              <a:lnTo>
                <a:pt x="19405" y="16599"/>
              </a:lnTo>
              <a:lnTo>
                <a:pt x="19546" y="16388"/>
              </a:lnTo>
              <a:lnTo>
                <a:pt x="19682" y="16177"/>
              </a:lnTo>
              <a:lnTo>
                <a:pt x="19805" y="15959"/>
              </a:lnTo>
              <a:lnTo>
                <a:pt x="19929" y="15736"/>
              </a:lnTo>
              <a:lnTo>
                <a:pt x="20047" y="15519"/>
              </a:lnTo>
              <a:lnTo>
                <a:pt x="20158" y="15290"/>
              </a:lnTo>
              <a:lnTo>
                <a:pt x="20264" y="15067"/>
              </a:lnTo>
              <a:lnTo>
                <a:pt x="20364" y="14832"/>
              </a:lnTo>
              <a:lnTo>
                <a:pt x="20464" y="14603"/>
              </a:lnTo>
              <a:lnTo>
                <a:pt x="20553" y="14363"/>
              </a:lnTo>
              <a:lnTo>
                <a:pt x="20717" y="13882"/>
              </a:lnTo>
              <a:lnTo>
                <a:pt x="20859" y="13388"/>
              </a:lnTo>
              <a:lnTo>
                <a:pt x="20917" y="13142"/>
              </a:lnTo>
              <a:lnTo>
                <a:pt x="21023" y="12637"/>
              </a:lnTo>
              <a:lnTo>
                <a:pt x="21065" y="12373"/>
              </a:lnTo>
              <a:lnTo>
                <a:pt x="21100" y="12115"/>
              </a:lnTo>
              <a:lnTo>
                <a:pt x="21129" y="11857"/>
              </a:lnTo>
              <a:lnTo>
                <a:pt x="21153" y="11598"/>
              </a:lnTo>
              <a:lnTo>
                <a:pt x="21170" y="11334"/>
              </a:lnTo>
              <a:lnTo>
                <a:pt x="21182" y="11070"/>
              </a:lnTo>
              <a:lnTo>
                <a:pt x="21182" y="10800"/>
              </a:lnTo>
              <a:lnTo>
                <a:pt x="21600" y="10800"/>
              </a:lnTo>
              <a:lnTo>
                <a:pt x="21600" y="11082"/>
              </a:lnTo>
              <a:lnTo>
                <a:pt x="21588" y="11358"/>
              </a:lnTo>
              <a:lnTo>
                <a:pt x="21571" y="11628"/>
              </a:lnTo>
              <a:lnTo>
                <a:pt x="21547" y="11903"/>
              </a:lnTo>
              <a:lnTo>
                <a:pt x="21512" y="12168"/>
              </a:lnTo>
              <a:lnTo>
                <a:pt x="21476" y="12438"/>
              </a:lnTo>
              <a:lnTo>
                <a:pt x="21429" y="12708"/>
              </a:lnTo>
              <a:lnTo>
                <a:pt x="21382" y="12972"/>
              </a:lnTo>
              <a:lnTo>
                <a:pt x="21323" y="13236"/>
              </a:lnTo>
              <a:lnTo>
                <a:pt x="21259" y="13494"/>
              </a:lnTo>
              <a:lnTo>
                <a:pt x="21188" y="13747"/>
              </a:lnTo>
              <a:lnTo>
                <a:pt x="21118" y="14005"/>
              </a:lnTo>
              <a:lnTo>
                <a:pt x="21035" y="14257"/>
              </a:lnTo>
              <a:lnTo>
                <a:pt x="20947" y="14510"/>
              </a:lnTo>
              <a:lnTo>
                <a:pt x="20853" y="14756"/>
              </a:lnTo>
              <a:lnTo>
                <a:pt x="20753" y="14997"/>
              </a:lnTo>
              <a:lnTo>
                <a:pt x="20647" y="15237"/>
              </a:lnTo>
              <a:lnTo>
                <a:pt x="20535" y="15472"/>
              </a:lnTo>
              <a:lnTo>
                <a:pt x="20417" y="15707"/>
              </a:lnTo>
              <a:lnTo>
                <a:pt x="20294" y="15942"/>
              </a:lnTo>
              <a:lnTo>
                <a:pt x="20170" y="16171"/>
              </a:lnTo>
              <a:lnTo>
                <a:pt x="20035" y="16394"/>
              </a:lnTo>
              <a:lnTo>
                <a:pt x="19900" y="16611"/>
              </a:lnTo>
              <a:lnTo>
                <a:pt x="19752" y="16828"/>
              </a:lnTo>
              <a:lnTo>
                <a:pt x="19605" y="17039"/>
              </a:lnTo>
              <a:lnTo>
                <a:pt x="19288" y="17462"/>
              </a:lnTo>
              <a:lnTo>
                <a:pt x="19129" y="17662"/>
              </a:lnTo>
              <a:lnTo>
                <a:pt x="18958" y="17861"/>
              </a:lnTo>
              <a:lnTo>
                <a:pt x="18787" y="18055"/>
              </a:lnTo>
              <a:lnTo>
                <a:pt x="18611" y="18243"/>
              </a:lnTo>
              <a:lnTo>
                <a:pt x="18429" y="18430"/>
              </a:lnTo>
              <a:lnTo>
                <a:pt x="18134" y="18131"/>
              </a:lnTo>
              <a:close/>
              <a:moveTo>
                <a:pt x="21182" y="10800"/>
              </a:moveTo>
              <a:lnTo>
                <a:pt x="21182" y="10794"/>
              </a:lnTo>
              <a:lnTo>
                <a:pt x="21600" y="10794"/>
              </a:lnTo>
              <a:lnTo>
                <a:pt x="21600" y="10800"/>
              </a:lnTo>
              <a:lnTo>
                <a:pt x="21182" y="10800"/>
              </a:lnTo>
              <a:close/>
              <a:moveTo>
                <a:pt x="21182" y="10794"/>
              </a:moveTo>
              <a:lnTo>
                <a:pt x="21600" y="10794"/>
              </a:lnTo>
              <a:lnTo>
                <a:pt x="21182" y="10794"/>
              </a:lnTo>
              <a:close/>
              <a:moveTo>
                <a:pt x="21182" y="10794"/>
              </a:moveTo>
              <a:lnTo>
                <a:pt x="21182" y="10530"/>
              </a:lnTo>
              <a:lnTo>
                <a:pt x="21170" y="10266"/>
              </a:lnTo>
              <a:lnTo>
                <a:pt x="21153" y="10002"/>
              </a:lnTo>
              <a:lnTo>
                <a:pt x="21129" y="9743"/>
              </a:lnTo>
              <a:lnTo>
                <a:pt x="21100" y="9479"/>
              </a:lnTo>
              <a:lnTo>
                <a:pt x="21065" y="9221"/>
              </a:lnTo>
              <a:lnTo>
                <a:pt x="21023" y="8963"/>
              </a:lnTo>
              <a:lnTo>
                <a:pt x="20917" y="8458"/>
              </a:lnTo>
              <a:lnTo>
                <a:pt x="20859" y="8212"/>
              </a:lnTo>
              <a:lnTo>
                <a:pt x="20788" y="7965"/>
              </a:lnTo>
              <a:lnTo>
                <a:pt x="20717" y="7713"/>
              </a:lnTo>
              <a:lnTo>
                <a:pt x="20635" y="7472"/>
              </a:lnTo>
              <a:lnTo>
                <a:pt x="20553" y="7237"/>
              </a:lnTo>
              <a:lnTo>
                <a:pt x="20464" y="6997"/>
              </a:lnTo>
              <a:lnTo>
                <a:pt x="20364" y="6768"/>
              </a:lnTo>
              <a:lnTo>
                <a:pt x="20264" y="6533"/>
              </a:lnTo>
              <a:lnTo>
                <a:pt x="20158" y="6310"/>
              </a:lnTo>
              <a:lnTo>
                <a:pt x="20047" y="6075"/>
              </a:lnTo>
              <a:lnTo>
                <a:pt x="19929" y="5858"/>
              </a:lnTo>
              <a:lnTo>
                <a:pt x="19805" y="5635"/>
              </a:lnTo>
              <a:lnTo>
                <a:pt x="19682" y="5423"/>
              </a:lnTo>
              <a:lnTo>
                <a:pt x="19546" y="5212"/>
              </a:lnTo>
              <a:lnTo>
                <a:pt x="19405" y="5001"/>
              </a:lnTo>
              <a:lnTo>
                <a:pt x="19258" y="4795"/>
              </a:lnTo>
              <a:lnTo>
                <a:pt x="18964" y="4396"/>
              </a:lnTo>
              <a:lnTo>
                <a:pt x="18646" y="4009"/>
              </a:lnTo>
              <a:lnTo>
                <a:pt x="18482" y="3827"/>
              </a:lnTo>
              <a:lnTo>
                <a:pt x="18311" y="3645"/>
              </a:lnTo>
              <a:lnTo>
                <a:pt x="18134" y="3463"/>
              </a:lnTo>
              <a:lnTo>
                <a:pt x="18429" y="3170"/>
              </a:lnTo>
              <a:lnTo>
                <a:pt x="18611" y="3357"/>
              </a:lnTo>
              <a:lnTo>
                <a:pt x="18787" y="3545"/>
              </a:lnTo>
              <a:lnTo>
                <a:pt x="19129" y="3933"/>
              </a:lnTo>
              <a:lnTo>
                <a:pt x="19605" y="4549"/>
              </a:lnTo>
              <a:lnTo>
                <a:pt x="19752" y="4772"/>
              </a:lnTo>
              <a:lnTo>
                <a:pt x="19900" y="4989"/>
              </a:lnTo>
              <a:lnTo>
                <a:pt x="20035" y="5206"/>
              </a:lnTo>
              <a:lnTo>
                <a:pt x="20170" y="5429"/>
              </a:lnTo>
              <a:lnTo>
                <a:pt x="20417" y="5887"/>
              </a:lnTo>
              <a:lnTo>
                <a:pt x="20535" y="6122"/>
              </a:lnTo>
              <a:lnTo>
                <a:pt x="20647" y="6363"/>
              </a:lnTo>
              <a:lnTo>
                <a:pt x="20753" y="6603"/>
              </a:lnTo>
              <a:lnTo>
                <a:pt x="20853" y="6844"/>
              </a:lnTo>
              <a:lnTo>
                <a:pt x="20947" y="7090"/>
              </a:lnTo>
              <a:lnTo>
                <a:pt x="21035" y="7337"/>
              </a:lnTo>
              <a:lnTo>
                <a:pt x="21118" y="7589"/>
              </a:lnTo>
              <a:lnTo>
                <a:pt x="21259" y="8106"/>
              </a:lnTo>
              <a:lnTo>
                <a:pt x="21323" y="8364"/>
              </a:lnTo>
              <a:lnTo>
                <a:pt x="21382" y="8628"/>
              </a:lnTo>
              <a:lnTo>
                <a:pt x="21476" y="9157"/>
              </a:lnTo>
              <a:lnTo>
                <a:pt x="21547" y="9697"/>
              </a:lnTo>
              <a:lnTo>
                <a:pt x="21571" y="9972"/>
              </a:lnTo>
              <a:lnTo>
                <a:pt x="21588" y="10242"/>
              </a:lnTo>
              <a:lnTo>
                <a:pt x="21600" y="10518"/>
              </a:lnTo>
              <a:lnTo>
                <a:pt x="21600" y="10794"/>
              </a:lnTo>
              <a:lnTo>
                <a:pt x="21182" y="10794"/>
              </a:lnTo>
              <a:close/>
              <a:moveTo>
                <a:pt x="18134" y="3463"/>
              </a:moveTo>
              <a:lnTo>
                <a:pt x="17958" y="3293"/>
              </a:lnTo>
              <a:lnTo>
                <a:pt x="17775" y="3123"/>
              </a:lnTo>
              <a:lnTo>
                <a:pt x="17587" y="2952"/>
              </a:lnTo>
              <a:lnTo>
                <a:pt x="17399" y="2788"/>
              </a:lnTo>
              <a:lnTo>
                <a:pt x="17205" y="2635"/>
              </a:lnTo>
              <a:lnTo>
                <a:pt x="17005" y="2483"/>
              </a:lnTo>
              <a:lnTo>
                <a:pt x="16805" y="2336"/>
              </a:lnTo>
              <a:lnTo>
                <a:pt x="16393" y="2054"/>
              </a:lnTo>
              <a:lnTo>
                <a:pt x="16181" y="1925"/>
              </a:lnTo>
              <a:lnTo>
                <a:pt x="15963" y="1796"/>
              </a:lnTo>
              <a:lnTo>
                <a:pt x="15745" y="1673"/>
              </a:lnTo>
              <a:lnTo>
                <a:pt x="15522" y="1555"/>
              </a:lnTo>
              <a:lnTo>
                <a:pt x="15298" y="1444"/>
              </a:lnTo>
              <a:lnTo>
                <a:pt x="15063" y="1332"/>
              </a:lnTo>
              <a:lnTo>
                <a:pt x="14833" y="1233"/>
              </a:lnTo>
              <a:lnTo>
                <a:pt x="14363" y="1045"/>
              </a:lnTo>
              <a:lnTo>
                <a:pt x="14121" y="963"/>
              </a:lnTo>
              <a:lnTo>
                <a:pt x="13639" y="810"/>
              </a:lnTo>
              <a:lnTo>
                <a:pt x="13392" y="745"/>
              </a:lnTo>
              <a:lnTo>
                <a:pt x="13139" y="681"/>
              </a:lnTo>
              <a:lnTo>
                <a:pt x="12892" y="628"/>
              </a:lnTo>
              <a:lnTo>
                <a:pt x="12633" y="581"/>
              </a:lnTo>
              <a:lnTo>
                <a:pt x="12380" y="540"/>
              </a:lnTo>
              <a:lnTo>
                <a:pt x="12121" y="499"/>
              </a:lnTo>
              <a:lnTo>
                <a:pt x="11862" y="470"/>
              </a:lnTo>
              <a:lnTo>
                <a:pt x="11597" y="446"/>
              </a:lnTo>
              <a:lnTo>
                <a:pt x="11338" y="428"/>
              </a:lnTo>
              <a:lnTo>
                <a:pt x="11074" y="423"/>
              </a:lnTo>
              <a:lnTo>
                <a:pt x="10803" y="417"/>
              </a:lnTo>
              <a:lnTo>
                <a:pt x="10803" y="0"/>
              </a:lnTo>
              <a:lnTo>
                <a:pt x="11079" y="6"/>
              </a:lnTo>
              <a:lnTo>
                <a:pt x="11356" y="18"/>
              </a:lnTo>
              <a:lnTo>
                <a:pt x="11633" y="35"/>
              </a:lnTo>
              <a:lnTo>
                <a:pt x="11903" y="59"/>
              </a:lnTo>
              <a:lnTo>
                <a:pt x="12174" y="88"/>
              </a:lnTo>
              <a:lnTo>
                <a:pt x="12445" y="123"/>
              </a:lnTo>
              <a:lnTo>
                <a:pt x="12709" y="170"/>
              </a:lnTo>
              <a:lnTo>
                <a:pt x="12974" y="223"/>
              </a:lnTo>
              <a:lnTo>
                <a:pt x="13233" y="276"/>
              </a:lnTo>
              <a:lnTo>
                <a:pt x="13492" y="340"/>
              </a:lnTo>
              <a:lnTo>
                <a:pt x="13751" y="411"/>
              </a:lnTo>
              <a:lnTo>
                <a:pt x="14004" y="487"/>
              </a:lnTo>
              <a:lnTo>
                <a:pt x="14257" y="569"/>
              </a:lnTo>
              <a:lnTo>
                <a:pt x="14504" y="657"/>
              </a:lnTo>
              <a:lnTo>
                <a:pt x="14751" y="751"/>
              </a:lnTo>
              <a:lnTo>
                <a:pt x="14998" y="851"/>
              </a:lnTo>
              <a:lnTo>
                <a:pt x="15239" y="957"/>
              </a:lnTo>
              <a:lnTo>
                <a:pt x="15481" y="1068"/>
              </a:lnTo>
              <a:lnTo>
                <a:pt x="15710" y="1180"/>
              </a:lnTo>
              <a:lnTo>
                <a:pt x="15946" y="1303"/>
              </a:lnTo>
              <a:lnTo>
                <a:pt x="16169" y="1438"/>
              </a:lnTo>
              <a:lnTo>
                <a:pt x="16393" y="1567"/>
              </a:lnTo>
              <a:lnTo>
                <a:pt x="16616" y="1708"/>
              </a:lnTo>
              <a:lnTo>
                <a:pt x="16834" y="1849"/>
              </a:lnTo>
              <a:lnTo>
                <a:pt x="17046" y="1996"/>
              </a:lnTo>
              <a:lnTo>
                <a:pt x="17258" y="2148"/>
              </a:lnTo>
              <a:lnTo>
                <a:pt x="17464" y="2307"/>
              </a:lnTo>
              <a:lnTo>
                <a:pt x="17864" y="2635"/>
              </a:lnTo>
              <a:lnTo>
                <a:pt x="18058" y="2806"/>
              </a:lnTo>
              <a:lnTo>
                <a:pt x="18246" y="2988"/>
              </a:lnTo>
              <a:lnTo>
                <a:pt x="18429" y="3170"/>
              </a:lnTo>
              <a:lnTo>
                <a:pt x="18134" y="3463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803" y="0"/>
              </a:lnTo>
              <a:lnTo>
                <a:pt x="10803" y="417"/>
              </a:lnTo>
              <a:close/>
              <a:moveTo>
                <a:pt x="10803" y="417"/>
              </a:moveTo>
              <a:lnTo>
                <a:pt x="10532" y="423"/>
              </a:lnTo>
              <a:lnTo>
                <a:pt x="10268" y="428"/>
              </a:lnTo>
              <a:lnTo>
                <a:pt x="10003" y="446"/>
              </a:lnTo>
              <a:lnTo>
                <a:pt x="9738" y="470"/>
              </a:lnTo>
              <a:lnTo>
                <a:pt x="9479" y="499"/>
              </a:lnTo>
              <a:lnTo>
                <a:pt x="9220" y="540"/>
              </a:lnTo>
              <a:lnTo>
                <a:pt x="8967" y="581"/>
              </a:lnTo>
              <a:lnTo>
                <a:pt x="8714" y="628"/>
              </a:lnTo>
              <a:lnTo>
                <a:pt x="8461" y="681"/>
              </a:lnTo>
              <a:lnTo>
                <a:pt x="7967" y="810"/>
              </a:lnTo>
              <a:lnTo>
                <a:pt x="7720" y="886"/>
              </a:lnTo>
              <a:lnTo>
                <a:pt x="7479" y="963"/>
              </a:lnTo>
              <a:lnTo>
                <a:pt x="7237" y="1045"/>
              </a:lnTo>
              <a:lnTo>
                <a:pt x="6767" y="1233"/>
              </a:lnTo>
              <a:lnTo>
                <a:pt x="6537" y="1332"/>
              </a:lnTo>
              <a:lnTo>
                <a:pt x="6302" y="1444"/>
              </a:lnTo>
              <a:lnTo>
                <a:pt x="6078" y="1555"/>
              </a:lnTo>
              <a:lnTo>
                <a:pt x="5855" y="1673"/>
              </a:lnTo>
              <a:lnTo>
                <a:pt x="5637" y="1796"/>
              </a:lnTo>
              <a:lnTo>
                <a:pt x="5425" y="1925"/>
              </a:lnTo>
              <a:lnTo>
                <a:pt x="5207" y="2054"/>
              </a:lnTo>
              <a:lnTo>
                <a:pt x="4795" y="2336"/>
              </a:lnTo>
              <a:lnTo>
                <a:pt x="4595" y="2483"/>
              </a:lnTo>
              <a:lnTo>
                <a:pt x="4395" y="2635"/>
              </a:lnTo>
              <a:lnTo>
                <a:pt x="4201" y="2788"/>
              </a:lnTo>
              <a:lnTo>
                <a:pt x="4013" y="2952"/>
              </a:lnTo>
              <a:lnTo>
                <a:pt x="3825" y="3123"/>
              </a:lnTo>
              <a:lnTo>
                <a:pt x="3642" y="3293"/>
              </a:lnTo>
              <a:lnTo>
                <a:pt x="3466" y="3463"/>
              </a:lnTo>
              <a:lnTo>
                <a:pt x="3171" y="3170"/>
              </a:lnTo>
              <a:lnTo>
                <a:pt x="3354" y="2988"/>
              </a:lnTo>
              <a:lnTo>
                <a:pt x="3548" y="2806"/>
              </a:lnTo>
              <a:lnTo>
                <a:pt x="3742" y="2635"/>
              </a:lnTo>
              <a:lnTo>
                <a:pt x="3936" y="2471"/>
              </a:lnTo>
              <a:lnTo>
                <a:pt x="4142" y="2307"/>
              </a:lnTo>
              <a:lnTo>
                <a:pt x="4342" y="2148"/>
              </a:lnTo>
              <a:lnTo>
                <a:pt x="4554" y="1996"/>
              </a:lnTo>
              <a:lnTo>
                <a:pt x="4766" y="1849"/>
              </a:lnTo>
              <a:lnTo>
                <a:pt x="4984" y="1708"/>
              </a:lnTo>
              <a:lnTo>
                <a:pt x="5207" y="1567"/>
              </a:lnTo>
              <a:lnTo>
                <a:pt x="5431" y="1438"/>
              </a:lnTo>
              <a:lnTo>
                <a:pt x="5660" y="1303"/>
              </a:lnTo>
              <a:lnTo>
                <a:pt x="5890" y="1180"/>
              </a:lnTo>
              <a:lnTo>
                <a:pt x="6361" y="957"/>
              </a:lnTo>
              <a:lnTo>
                <a:pt x="6608" y="851"/>
              </a:lnTo>
              <a:lnTo>
                <a:pt x="6849" y="751"/>
              </a:lnTo>
              <a:lnTo>
                <a:pt x="7096" y="657"/>
              </a:lnTo>
              <a:lnTo>
                <a:pt x="7343" y="569"/>
              </a:lnTo>
              <a:lnTo>
                <a:pt x="7596" y="487"/>
              </a:lnTo>
              <a:lnTo>
                <a:pt x="7849" y="411"/>
              </a:lnTo>
              <a:lnTo>
                <a:pt x="8108" y="340"/>
              </a:lnTo>
              <a:lnTo>
                <a:pt x="8367" y="276"/>
              </a:lnTo>
              <a:lnTo>
                <a:pt x="8626" y="223"/>
              </a:lnTo>
              <a:lnTo>
                <a:pt x="8891" y="170"/>
              </a:lnTo>
              <a:lnTo>
                <a:pt x="9161" y="123"/>
              </a:lnTo>
              <a:lnTo>
                <a:pt x="9426" y="88"/>
              </a:lnTo>
              <a:lnTo>
                <a:pt x="9697" y="59"/>
              </a:lnTo>
              <a:lnTo>
                <a:pt x="9967" y="35"/>
              </a:lnTo>
              <a:lnTo>
                <a:pt x="10244" y="18"/>
              </a:lnTo>
              <a:lnTo>
                <a:pt x="10521" y="6"/>
              </a:lnTo>
              <a:lnTo>
                <a:pt x="10803" y="0"/>
              </a:lnTo>
              <a:lnTo>
                <a:pt x="10803" y="417"/>
              </a:lnTo>
              <a:close/>
              <a:moveTo>
                <a:pt x="3466" y="3463"/>
              </a:moveTo>
              <a:lnTo>
                <a:pt x="3289" y="3645"/>
              </a:lnTo>
              <a:lnTo>
                <a:pt x="2960" y="4009"/>
              </a:lnTo>
              <a:lnTo>
                <a:pt x="2795" y="4203"/>
              </a:lnTo>
              <a:lnTo>
                <a:pt x="2642" y="4396"/>
              </a:lnTo>
              <a:lnTo>
                <a:pt x="2489" y="4596"/>
              </a:lnTo>
              <a:lnTo>
                <a:pt x="2342" y="4795"/>
              </a:lnTo>
              <a:lnTo>
                <a:pt x="2201" y="5001"/>
              </a:lnTo>
              <a:lnTo>
                <a:pt x="2054" y="5212"/>
              </a:lnTo>
              <a:lnTo>
                <a:pt x="1795" y="5635"/>
              </a:lnTo>
              <a:lnTo>
                <a:pt x="1671" y="5858"/>
              </a:lnTo>
              <a:lnTo>
                <a:pt x="1553" y="6075"/>
              </a:lnTo>
              <a:lnTo>
                <a:pt x="1442" y="6310"/>
              </a:lnTo>
              <a:lnTo>
                <a:pt x="1336" y="6533"/>
              </a:lnTo>
              <a:lnTo>
                <a:pt x="1236" y="6768"/>
              </a:lnTo>
              <a:lnTo>
                <a:pt x="1141" y="6997"/>
              </a:lnTo>
              <a:lnTo>
                <a:pt x="1047" y="7237"/>
              </a:lnTo>
              <a:lnTo>
                <a:pt x="965" y="7472"/>
              </a:lnTo>
              <a:lnTo>
                <a:pt x="883" y="7713"/>
              </a:lnTo>
              <a:lnTo>
                <a:pt x="812" y="7965"/>
              </a:lnTo>
              <a:lnTo>
                <a:pt x="683" y="8458"/>
              </a:lnTo>
              <a:lnTo>
                <a:pt x="630" y="8710"/>
              </a:lnTo>
              <a:lnTo>
                <a:pt x="583" y="8963"/>
              </a:lnTo>
              <a:lnTo>
                <a:pt x="535" y="9221"/>
              </a:lnTo>
              <a:lnTo>
                <a:pt x="500" y="9479"/>
              </a:lnTo>
              <a:lnTo>
                <a:pt x="471" y="9743"/>
              </a:lnTo>
              <a:lnTo>
                <a:pt x="447" y="10002"/>
              </a:lnTo>
              <a:lnTo>
                <a:pt x="430" y="10266"/>
              </a:lnTo>
              <a:lnTo>
                <a:pt x="418" y="10794"/>
              </a:lnTo>
              <a:lnTo>
                <a:pt x="0" y="10794"/>
              </a:lnTo>
              <a:lnTo>
                <a:pt x="12" y="10242"/>
              </a:lnTo>
              <a:lnTo>
                <a:pt x="29" y="9972"/>
              </a:lnTo>
              <a:lnTo>
                <a:pt x="59" y="9697"/>
              </a:lnTo>
              <a:lnTo>
                <a:pt x="88" y="9427"/>
              </a:lnTo>
              <a:lnTo>
                <a:pt x="124" y="9157"/>
              </a:lnTo>
              <a:lnTo>
                <a:pt x="218" y="8628"/>
              </a:lnTo>
              <a:lnTo>
                <a:pt x="277" y="8364"/>
              </a:lnTo>
              <a:lnTo>
                <a:pt x="341" y="8106"/>
              </a:lnTo>
              <a:lnTo>
                <a:pt x="412" y="7848"/>
              </a:lnTo>
              <a:lnTo>
                <a:pt x="488" y="7589"/>
              </a:lnTo>
              <a:lnTo>
                <a:pt x="571" y="7337"/>
              </a:lnTo>
              <a:lnTo>
                <a:pt x="659" y="7090"/>
              </a:lnTo>
              <a:lnTo>
                <a:pt x="753" y="6844"/>
              </a:lnTo>
              <a:lnTo>
                <a:pt x="953" y="6363"/>
              </a:lnTo>
              <a:lnTo>
                <a:pt x="1065" y="6122"/>
              </a:lnTo>
              <a:lnTo>
                <a:pt x="1183" y="5887"/>
              </a:lnTo>
              <a:lnTo>
                <a:pt x="1306" y="5658"/>
              </a:lnTo>
              <a:lnTo>
                <a:pt x="1436" y="5429"/>
              </a:lnTo>
              <a:lnTo>
                <a:pt x="1565" y="5206"/>
              </a:lnTo>
              <a:lnTo>
                <a:pt x="1848" y="4772"/>
              </a:lnTo>
              <a:lnTo>
                <a:pt x="1995" y="4549"/>
              </a:lnTo>
              <a:lnTo>
                <a:pt x="2312" y="4138"/>
              </a:lnTo>
              <a:lnTo>
                <a:pt x="2477" y="3933"/>
              </a:lnTo>
              <a:lnTo>
                <a:pt x="2642" y="3739"/>
              </a:lnTo>
              <a:lnTo>
                <a:pt x="2813" y="3545"/>
              </a:lnTo>
              <a:lnTo>
                <a:pt x="2989" y="3357"/>
              </a:lnTo>
              <a:lnTo>
                <a:pt x="3171" y="3170"/>
              </a:lnTo>
              <a:lnTo>
                <a:pt x="3466" y="3463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0" y="10794"/>
              </a:lnTo>
              <a:lnTo>
                <a:pt x="418" y="10794"/>
              </a:lnTo>
              <a:close/>
              <a:moveTo>
                <a:pt x="418" y="10794"/>
              </a:moveTo>
              <a:lnTo>
                <a:pt x="424" y="11070"/>
              </a:lnTo>
              <a:lnTo>
                <a:pt x="430" y="11334"/>
              </a:lnTo>
              <a:lnTo>
                <a:pt x="447" y="11598"/>
              </a:lnTo>
              <a:lnTo>
                <a:pt x="471" y="11857"/>
              </a:lnTo>
              <a:lnTo>
                <a:pt x="500" y="12115"/>
              </a:lnTo>
              <a:lnTo>
                <a:pt x="535" y="12373"/>
              </a:lnTo>
              <a:lnTo>
                <a:pt x="583" y="12637"/>
              </a:lnTo>
              <a:lnTo>
                <a:pt x="630" y="12890"/>
              </a:lnTo>
              <a:lnTo>
                <a:pt x="683" y="13142"/>
              </a:lnTo>
              <a:lnTo>
                <a:pt x="812" y="13635"/>
              </a:lnTo>
              <a:lnTo>
                <a:pt x="883" y="13876"/>
              </a:lnTo>
              <a:lnTo>
                <a:pt x="965" y="14122"/>
              </a:lnTo>
              <a:lnTo>
                <a:pt x="1047" y="14363"/>
              </a:lnTo>
              <a:lnTo>
                <a:pt x="1141" y="14603"/>
              </a:lnTo>
              <a:lnTo>
                <a:pt x="1236" y="14832"/>
              </a:lnTo>
              <a:lnTo>
                <a:pt x="1336" y="15067"/>
              </a:lnTo>
              <a:lnTo>
                <a:pt x="1442" y="15290"/>
              </a:lnTo>
              <a:lnTo>
                <a:pt x="1553" y="15519"/>
              </a:lnTo>
              <a:lnTo>
                <a:pt x="1671" y="15736"/>
              </a:lnTo>
              <a:lnTo>
                <a:pt x="1795" y="15959"/>
              </a:lnTo>
              <a:lnTo>
                <a:pt x="1924" y="16177"/>
              </a:lnTo>
              <a:lnTo>
                <a:pt x="2054" y="16388"/>
              </a:lnTo>
              <a:lnTo>
                <a:pt x="2201" y="16599"/>
              </a:lnTo>
              <a:lnTo>
                <a:pt x="2342" y="16799"/>
              </a:lnTo>
              <a:lnTo>
                <a:pt x="2489" y="17004"/>
              </a:lnTo>
              <a:lnTo>
                <a:pt x="2642" y="17198"/>
              </a:lnTo>
              <a:lnTo>
                <a:pt x="2795" y="17397"/>
              </a:lnTo>
              <a:lnTo>
                <a:pt x="2960" y="17591"/>
              </a:lnTo>
              <a:lnTo>
                <a:pt x="3124" y="17773"/>
              </a:lnTo>
              <a:lnTo>
                <a:pt x="3466" y="18137"/>
              </a:lnTo>
              <a:lnTo>
                <a:pt x="3171" y="18430"/>
              </a:lnTo>
              <a:lnTo>
                <a:pt x="2989" y="18243"/>
              </a:lnTo>
              <a:lnTo>
                <a:pt x="2813" y="18055"/>
              </a:lnTo>
              <a:lnTo>
                <a:pt x="2642" y="17861"/>
              </a:lnTo>
              <a:lnTo>
                <a:pt x="2312" y="17462"/>
              </a:lnTo>
              <a:lnTo>
                <a:pt x="1995" y="17039"/>
              </a:lnTo>
              <a:lnTo>
                <a:pt x="1848" y="16828"/>
              </a:lnTo>
              <a:lnTo>
                <a:pt x="1565" y="16394"/>
              </a:lnTo>
              <a:lnTo>
                <a:pt x="1436" y="16171"/>
              </a:lnTo>
              <a:lnTo>
                <a:pt x="1306" y="15942"/>
              </a:lnTo>
              <a:lnTo>
                <a:pt x="1183" y="15707"/>
              </a:lnTo>
              <a:lnTo>
                <a:pt x="1065" y="15472"/>
              </a:lnTo>
              <a:lnTo>
                <a:pt x="953" y="15237"/>
              </a:lnTo>
              <a:lnTo>
                <a:pt x="753" y="14756"/>
              </a:lnTo>
              <a:lnTo>
                <a:pt x="659" y="14510"/>
              </a:lnTo>
              <a:lnTo>
                <a:pt x="571" y="14257"/>
              </a:lnTo>
              <a:lnTo>
                <a:pt x="488" y="14005"/>
              </a:lnTo>
              <a:lnTo>
                <a:pt x="412" y="13747"/>
              </a:lnTo>
              <a:lnTo>
                <a:pt x="341" y="13494"/>
              </a:lnTo>
              <a:lnTo>
                <a:pt x="277" y="13236"/>
              </a:lnTo>
              <a:lnTo>
                <a:pt x="218" y="12972"/>
              </a:lnTo>
              <a:lnTo>
                <a:pt x="171" y="12708"/>
              </a:lnTo>
              <a:lnTo>
                <a:pt x="124" y="12438"/>
              </a:lnTo>
              <a:lnTo>
                <a:pt x="88" y="12168"/>
              </a:lnTo>
              <a:lnTo>
                <a:pt x="29" y="11628"/>
              </a:lnTo>
              <a:lnTo>
                <a:pt x="12" y="11358"/>
              </a:lnTo>
              <a:lnTo>
                <a:pt x="6" y="11082"/>
              </a:lnTo>
              <a:lnTo>
                <a:pt x="0" y="10794"/>
              </a:lnTo>
              <a:lnTo>
                <a:pt x="418" y="10794"/>
              </a:lnTo>
              <a:close/>
              <a:moveTo>
                <a:pt x="3466" y="18137"/>
              </a:moveTo>
              <a:lnTo>
                <a:pt x="3642" y="18307"/>
              </a:lnTo>
              <a:lnTo>
                <a:pt x="3825" y="18477"/>
              </a:lnTo>
              <a:lnTo>
                <a:pt x="4013" y="18642"/>
              </a:lnTo>
              <a:lnTo>
                <a:pt x="4201" y="18800"/>
              </a:lnTo>
              <a:lnTo>
                <a:pt x="4395" y="18965"/>
              </a:lnTo>
              <a:lnTo>
                <a:pt x="4595" y="19117"/>
              </a:lnTo>
              <a:lnTo>
                <a:pt x="4795" y="19264"/>
              </a:lnTo>
              <a:lnTo>
                <a:pt x="5001" y="19405"/>
              </a:lnTo>
              <a:lnTo>
                <a:pt x="5207" y="19540"/>
              </a:lnTo>
              <a:lnTo>
                <a:pt x="5425" y="19675"/>
              </a:lnTo>
              <a:lnTo>
                <a:pt x="5637" y="19804"/>
              </a:lnTo>
              <a:lnTo>
                <a:pt x="5855" y="19921"/>
              </a:lnTo>
              <a:lnTo>
                <a:pt x="6078" y="20039"/>
              </a:lnTo>
              <a:lnTo>
                <a:pt x="6302" y="20150"/>
              </a:lnTo>
              <a:lnTo>
                <a:pt x="6537" y="20262"/>
              </a:lnTo>
              <a:lnTo>
                <a:pt x="6767" y="20362"/>
              </a:lnTo>
              <a:lnTo>
                <a:pt x="7237" y="20549"/>
              </a:lnTo>
              <a:lnTo>
                <a:pt x="7479" y="20637"/>
              </a:lnTo>
              <a:lnTo>
                <a:pt x="7720" y="20714"/>
              </a:lnTo>
              <a:lnTo>
                <a:pt x="7967" y="20790"/>
              </a:lnTo>
              <a:lnTo>
                <a:pt x="8214" y="20855"/>
              </a:lnTo>
              <a:lnTo>
                <a:pt x="8461" y="20913"/>
              </a:lnTo>
              <a:lnTo>
                <a:pt x="8714" y="20972"/>
              </a:lnTo>
              <a:lnTo>
                <a:pt x="8967" y="21019"/>
              </a:lnTo>
              <a:lnTo>
                <a:pt x="9220" y="21060"/>
              </a:lnTo>
              <a:lnTo>
                <a:pt x="9738" y="21130"/>
              </a:lnTo>
              <a:lnTo>
                <a:pt x="10003" y="21154"/>
              </a:lnTo>
              <a:lnTo>
                <a:pt x="10532" y="21177"/>
              </a:lnTo>
              <a:lnTo>
                <a:pt x="10803" y="21183"/>
              </a:lnTo>
              <a:lnTo>
                <a:pt x="10803" y="21600"/>
              </a:lnTo>
              <a:lnTo>
                <a:pt x="10521" y="21594"/>
              </a:lnTo>
              <a:lnTo>
                <a:pt x="10244" y="21582"/>
              </a:lnTo>
              <a:lnTo>
                <a:pt x="9967" y="21565"/>
              </a:lnTo>
              <a:lnTo>
                <a:pt x="9697" y="21541"/>
              </a:lnTo>
              <a:lnTo>
                <a:pt x="9426" y="21512"/>
              </a:lnTo>
              <a:lnTo>
                <a:pt x="9155" y="21471"/>
              </a:lnTo>
              <a:lnTo>
                <a:pt x="8891" y="21430"/>
              </a:lnTo>
              <a:lnTo>
                <a:pt x="8626" y="21377"/>
              </a:lnTo>
              <a:lnTo>
                <a:pt x="8108" y="21260"/>
              </a:lnTo>
              <a:lnTo>
                <a:pt x="7849" y="21189"/>
              </a:lnTo>
              <a:lnTo>
                <a:pt x="7596" y="21113"/>
              </a:lnTo>
              <a:lnTo>
                <a:pt x="7343" y="21031"/>
              </a:lnTo>
              <a:lnTo>
                <a:pt x="7096" y="20943"/>
              </a:lnTo>
              <a:lnTo>
                <a:pt x="6849" y="20849"/>
              </a:lnTo>
              <a:lnTo>
                <a:pt x="6608" y="20749"/>
              </a:lnTo>
              <a:lnTo>
                <a:pt x="6361" y="20643"/>
              </a:lnTo>
              <a:lnTo>
                <a:pt x="5890" y="20408"/>
              </a:lnTo>
              <a:lnTo>
                <a:pt x="5660" y="20291"/>
              </a:lnTo>
              <a:lnTo>
                <a:pt x="5431" y="20162"/>
              </a:lnTo>
              <a:lnTo>
                <a:pt x="5207" y="20033"/>
              </a:lnTo>
              <a:lnTo>
                <a:pt x="4984" y="19892"/>
              </a:lnTo>
              <a:lnTo>
                <a:pt x="4766" y="19751"/>
              </a:lnTo>
              <a:lnTo>
                <a:pt x="4554" y="19604"/>
              </a:lnTo>
              <a:lnTo>
                <a:pt x="4348" y="19452"/>
              </a:lnTo>
              <a:lnTo>
                <a:pt x="4142" y="19293"/>
              </a:lnTo>
              <a:lnTo>
                <a:pt x="3936" y="19129"/>
              </a:lnTo>
              <a:lnTo>
                <a:pt x="3742" y="18965"/>
              </a:lnTo>
              <a:lnTo>
                <a:pt x="3548" y="18783"/>
              </a:lnTo>
              <a:lnTo>
                <a:pt x="3354" y="18607"/>
              </a:lnTo>
              <a:lnTo>
                <a:pt x="3171" y="18430"/>
              </a:lnTo>
              <a:lnTo>
                <a:pt x="3466" y="18137"/>
              </a:lnTo>
              <a:close/>
              <a:moveTo>
                <a:pt x="10803" y="21183"/>
              </a:moveTo>
              <a:lnTo>
                <a:pt x="10803" y="21600"/>
              </a:lnTo>
              <a:lnTo>
                <a:pt x="10803" y="21183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28573</xdr:colOff>
      <xdr:row>2</xdr:row>
      <xdr:rowOff>28572</xdr:rowOff>
    </xdr:from>
    <xdr:to>
      <xdr:col>7</xdr:col>
      <xdr:colOff>123824</xdr:colOff>
      <xdr:row>18</xdr:row>
      <xdr:rowOff>123822</xdr:rowOff>
    </xdr:to>
    <xdr:sp macro="" textlink="">
      <xdr:nvSpPr>
        <xdr:cNvPr id="107" name="Shape 107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/>
      </xdr:nvSpPr>
      <xdr:spPr>
        <a:xfrm>
          <a:off x="5819773" y="428622"/>
          <a:ext cx="2686052" cy="26955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3175" cap="flat">
          <a:solidFill>
            <a:srgbClr val="1F1A17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10</xdr:row>
      <xdr:rowOff>28575</xdr:rowOff>
    </xdr:from>
    <xdr:to>
      <xdr:col>6</xdr:col>
      <xdr:colOff>285750</xdr:colOff>
      <xdr:row>10</xdr:row>
      <xdr:rowOff>76200</xdr:rowOff>
    </xdr:to>
    <xdr:sp macro="" textlink="">
      <xdr:nvSpPr>
        <xdr:cNvPr id="108" name="Shape 108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/>
      </xdr:nvSpPr>
      <xdr:spPr>
        <a:xfrm>
          <a:off x="7731125" y="172402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10</xdr:row>
      <xdr:rowOff>66675</xdr:rowOff>
    </xdr:from>
    <xdr:to>
      <xdr:col>6</xdr:col>
      <xdr:colOff>268285</xdr:colOff>
      <xdr:row>11</xdr:row>
      <xdr:rowOff>76200</xdr:rowOff>
    </xdr:to>
    <xdr:sp macro="" textlink="">
      <xdr:nvSpPr>
        <xdr:cNvPr id="109" name="Shape 109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/>
      </xdr:nvSpPr>
      <xdr:spPr>
        <a:xfrm>
          <a:off x="7748585" y="1762125"/>
          <a:ext cx="12701" cy="1714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11</xdr:row>
      <xdr:rowOff>76200</xdr:rowOff>
    </xdr:from>
    <xdr:to>
      <xdr:col>6</xdr:col>
      <xdr:colOff>285750</xdr:colOff>
      <xdr:row>11</xdr:row>
      <xdr:rowOff>114300</xdr:rowOff>
    </xdr:to>
    <xdr:sp macro="" textlink="">
      <xdr:nvSpPr>
        <xdr:cNvPr id="110" name="Shape 110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/>
      </xdr:nvSpPr>
      <xdr:spPr>
        <a:xfrm>
          <a:off x="7731125" y="1933575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16</xdr:row>
      <xdr:rowOff>85725</xdr:rowOff>
    </xdr:from>
    <xdr:to>
      <xdr:col>6</xdr:col>
      <xdr:colOff>285750</xdr:colOff>
      <xdr:row>16</xdr:row>
      <xdr:rowOff>133350</xdr:rowOff>
    </xdr:to>
    <xdr:sp macro="" textlink="">
      <xdr:nvSpPr>
        <xdr:cNvPr id="111" name="Shape 111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/>
      </xdr:nvSpPr>
      <xdr:spPr>
        <a:xfrm>
          <a:off x="7731125" y="276225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21600"/>
              </a:moveTo>
              <a:lnTo>
                <a:pt x="10800" y="0"/>
              </a:lnTo>
              <a:lnTo>
                <a:pt x="0" y="21600"/>
              </a:lnTo>
              <a:lnTo>
                <a:pt x="21600" y="21600"/>
              </a:lnTo>
              <a:lnTo>
                <a:pt x="10800" y="0"/>
              </a:lnTo>
              <a:lnTo>
                <a:pt x="2160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16</xdr:row>
      <xdr:rowOff>133350</xdr:rowOff>
    </xdr:from>
    <xdr:to>
      <xdr:col>6</xdr:col>
      <xdr:colOff>268285</xdr:colOff>
      <xdr:row>18</xdr:row>
      <xdr:rowOff>85725</xdr:rowOff>
    </xdr:to>
    <xdr:sp macro="" textlink="">
      <xdr:nvSpPr>
        <xdr:cNvPr id="112" name="Shape 112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/>
      </xdr:nvSpPr>
      <xdr:spPr>
        <a:xfrm>
          <a:off x="7748585" y="2809875"/>
          <a:ext cx="12701" cy="2762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18</xdr:row>
      <xdr:rowOff>85725</xdr:rowOff>
    </xdr:from>
    <xdr:to>
      <xdr:col>6</xdr:col>
      <xdr:colOff>285750</xdr:colOff>
      <xdr:row>18</xdr:row>
      <xdr:rowOff>123825</xdr:rowOff>
    </xdr:to>
    <xdr:sp macro="" textlink="">
      <xdr:nvSpPr>
        <xdr:cNvPr id="113" name="Shape 113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/>
      </xdr:nvSpPr>
      <xdr:spPr>
        <a:xfrm>
          <a:off x="7731125" y="3086100"/>
          <a:ext cx="47626" cy="381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10800" y="21600"/>
              </a:lnTo>
              <a:lnTo>
                <a:pt x="0" y="0"/>
              </a:lnTo>
              <a:lnTo>
                <a:pt x="21600" y="0"/>
              </a:lnTo>
              <a:lnTo>
                <a:pt x="10800" y="21600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36510</xdr:colOff>
      <xdr:row>16</xdr:row>
      <xdr:rowOff>57150</xdr:rowOff>
    </xdr:from>
    <xdr:to>
      <xdr:col>5</xdr:col>
      <xdr:colOff>49210</xdr:colOff>
      <xdr:row>18</xdr:row>
      <xdr:rowOff>85725</xdr:rowOff>
    </xdr:to>
    <xdr:sp macro="" textlink="">
      <xdr:nvSpPr>
        <xdr:cNvPr id="114" name="Shape 114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/>
      </xdr:nvSpPr>
      <xdr:spPr>
        <a:xfrm>
          <a:off x="67929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36510</xdr:colOff>
      <xdr:row>16</xdr:row>
      <xdr:rowOff>57150</xdr:rowOff>
    </xdr:from>
    <xdr:to>
      <xdr:col>6</xdr:col>
      <xdr:colOff>49210</xdr:colOff>
      <xdr:row>18</xdr:row>
      <xdr:rowOff>85725</xdr:rowOff>
    </xdr:to>
    <xdr:sp macro="" textlink="">
      <xdr:nvSpPr>
        <xdr:cNvPr id="115" name="Shape 115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/>
      </xdr:nvSpPr>
      <xdr:spPr>
        <a:xfrm>
          <a:off x="7529510" y="2733675"/>
          <a:ext cx="12701" cy="35242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103185</xdr:colOff>
      <xdr:row>10</xdr:row>
      <xdr:rowOff>133350</xdr:rowOff>
    </xdr:from>
    <xdr:to>
      <xdr:col>5</xdr:col>
      <xdr:colOff>115885</xdr:colOff>
      <xdr:row>11</xdr:row>
      <xdr:rowOff>114300</xdr:rowOff>
    </xdr:to>
    <xdr:sp macro="" textlink="">
      <xdr:nvSpPr>
        <xdr:cNvPr id="116" name="Shape 116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/>
      </xdr:nvSpPr>
      <xdr:spPr>
        <a:xfrm>
          <a:off x="68595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14285</xdr:colOff>
      <xdr:row>10</xdr:row>
      <xdr:rowOff>133350</xdr:rowOff>
    </xdr:from>
    <xdr:to>
      <xdr:col>6</xdr:col>
      <xdr:colOff>26985</xdr:colOff>
      <xdr:row>11</xdr:row>
      <xdr:rowOff>114300</xdr:rowOff>
    </xdr:to>
    <xdr:sp macro="" textlink="">
      <xdr:nvSpPr>
        <xdr:cNvPr id="117" name="Shape 117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/>
      </xdr:nvSpPr>
      <xdr:spPr>
        <a:xfrm>
          <a:off x="7507285" y="1828800"/>
          <a:ext cx="12701" cy="142875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38100</xdr:colOff>
      <xdr:row>17</xdr:row>
      <xdr:rowOff>123825</xdr:rowOff>
    </xdr:from>
    <xdr:to>
      <xdr:col>5</xdr:col>
      <xdr:colOff>85725</xdr:colOff>
      <xdr:row>18</xdr:row>
      <xdr:rowOff>9525</xdr:rowOff>
    </xdr:to>
    <xdr:sp macro="" textlink="">
      <xdr:nvSpPr>
        <xdr:cNvPr id="118" name="Shape 118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/>
      </xdr:nvSpPr>
      <xdr:spPr>
        <a:xfrm>
          <a:off x="67945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76200</xdr:colOff>
      <xdr:row>17</xdr:row>
      <xdr:rowOff>141284</xdr:rowOff>
    </xdr:from>
    <xdr:to>
      <xdr:col>6</xdr:col>
      <xdr:colOff>9525</xdr:colOff>
      <xdr:row>17</xdr:row>
      <xdr:rowOff>153984</xdr:rowOff>
    </xdr:to>
    <xdr:sp macro="" textlink="">
      <xdr:nvSpPr>
        <xdr:cNvPr id="119" name="Shape 119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/>
      </xdr:nvSpPr>
      <xdr:spPr>
        <a:xfrm>
          <a:off x="6832600" y="29797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0</xdr:colOff>
      <xdr:row>17</xdr:row>
      <xdr:rowOff>123825</xdr:rowOff>
    </xdr:from>
    <xdr:to>
      <xdr:col>6</xdr:col>
      <xdr:colOff>47625</xdr:colOff>
      <xdr:row>18</xdr:row>
      <xdr:rowOff>9525</xdr:rowOff>
    </xdr:to>
    <xdr:sp macro="" textlink="">
      <xdr:nvSpPr>
        <xdr:cNvPr id="120" name="Shape 120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/>
      </xdr:nvSpPr>
      <xdr:spPr>
        <a:xfrm>
          <a:off x="7493000" y="29622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114300</xdr:colOff>
      <xdr:row>11</xdr:row>
      <xdr:rowOff>19050</xdr:rowOff>
    </xdr:from>
    <xdr:to>
      <xdr:col>5</xdr:col>
      <xdr:colOff>152400</xdr:colOff>
      <xdr:row>11</xdr:row>
      <xdr:rowOff>66675</xdr:rowOff>
    </xdr:to>
    <xdr:sp macro="" textlink="">
      <xdr:nvSpPr>
        <xdr:cNvPr id="121" name="Shape 121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/>
      </xdr:nvSpPr>
      <xdr:spPr>
        <a:xfrm>
          <a:off x="6870700" y="1876425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881"/>
              </a:lnTo>
              <a:lnTo>
                <a:pt x="21600" y="21600"/>
              </a:lnTo>
              <a:lnTo>
                <a:pt x="21600" y="0"/>
              </a:lnTo>
              <a:lnTo>
                <a:pt x="0" y="10881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152400</xdr:colOff>
      <xdr:row>11</xdr:row>
      <xdr:rowOff>36509</xdr:rowOff>
    </xdr:from>
    <xdr:to>
      <xdr:col>5</xdr:col>
      <xdr:colOff>647700</xdr:colOff>
      <xdr:row>11</xdr:row>
      <xdr:rowOff>49209</xdr:rowOff>
    </xdr:to>
    <xdr:sp macro="" textlink="">
      <xdr:nvSpPr>
        <xdr:cNvPr id="122" name="Shape 122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/>
      </xdr:nvSpPr>
      <xdr:spPr>
        <a:xfrm>
          <a:off x="6908800" y="1893884"/>
          <a:ext cx="49530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647700</xdr:colOff>
      <xdr:row>11</xdr:row>
      <xdr:rowOff>19050</xdr:rowOff>
    </xdr:from>
    <xdr:to>
      <xdr:col>5</xdr:col>
      <xdr:colOff>714375</xdr:colOff>
      <xdr:row>11</xdr:row>
      <xdr:rowOff>66675</xdr:rowOff>
    </xdr:to>
    <xdr:sp macro="" textlink="">
      <xdr:nvSpPr>
        <xdr:cNvPr id="123" name="Shape 123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/>
      </xdr:nvSpPr>
      <xdr:spPr>
        <a:xfrm>
          <a:off x="7404100" y="1876425"/>
          <a:ext cx="66675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881"/>
              </a:lnTo>
              <a:lnTo>
                <a:pt x="0" y="21600"/>
              </a:lnTo>
              <a:lnTo>
                <a:pt x="0" y="0"/>
              </a:lnTo>
              <a:lnTo>
                <a:pt x="21600" y="10881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9</xdr:row>
      <xdr:rowOff>142875</xdr:rowOff>
    </xdr:from>
    <xdr:to>
      <xdr:col>6</xdr:col>
      <xdr:colOff>285750</xdr:colOff>
      <xdr:row>10</xdr:row>
      <xdr:rowOff>28575</xdr:rowOff>
    </xdr:to>
    <xdr:sp macro="" textlink="">
      <xdr:nvSpPr>
        <xdr:cNvPr id="124" name="Shape 124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/>
      </xdr:nvSpPr>
      <xdr:spPr>
        <a:xfrm>
          <a:off x="7731125" y="1676400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10800" y="21600"/>
              </a:lnTo>
              <a:lnTo>
                <a:pt x="21600" y="0"/>
              </a:lnTo>
              <a:lnTo>
                <a:pt x="0" y="0"/>
              </a:lnTo>
              <a:lnTo>
                <a:pt x="10800" y="21600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255585</xdr:colOff>
      <xdr:row>8</xdr:row>
      <xdr:rowOff>66675</xdr:rowOff>
    </xdr:from>
    <xdr:to>
      <xdr:col>6</xdr:col>
      <xdr:colOff>268285</xdr:colOff>
      <xdr:row>9</xdr:row>
      <xdr:rowOff>152400</xdr:rowOff>
    </xdr:to>
    <xdr:sp macro="" textlink="">
      <xdr:nvSpPr>
        <xdr:cNvPr id="125" name="Shape 125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7748585" y="1438275"/>
          <a:ext cx="12701" cy="247650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238125</xdr:colOff>
      <xdr:row>8</xdr:row>
      <xdr:rowOff>28575</xdr:rowOff>
    </xdr:from>
    <xdr:to>
      <xdr:col>6</xdr:col>
      <xdr:colOff>285750</xdr:colOff>
      <xdr:row>8</xdr:row>
      <xdr:rowOff>76200</xdr:rowOff>
    </xdr:to>
    <xdr:sp macro="" textlink="">
      <xdr:nvSpPr>
        <xdr:cNvPr id="126" name="Shape 126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/>
      </xdr:nvSpPr>
      <xdr:spPr>
        <a:xfrm>
          <a:off x="7731125" y="1400175"/>
          <a:ext cx="47626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21600"/>
              </a:moveTo>
              <a:lnTo>
                <a:pt x="10800" y="0"/>
              </a:lnTo>
              <a:lnTo>
                <a:pt x="21600" y="21600"/>
              </a:lnTo>
              <a:lnTo>
                <a:pt x="0" y="21600"/>
              </a:lnTo>
              <a:lnTo>
                <a:pt x="10800" y="0"/>
              </a:lnTo>
              <a:lnTo>
                <a:pt x="0" y="2160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28575</xdr:colOff>
      <xdr:row>6</xdr:row>
      <xdr:rowOff>76200</xdr:rowOff>
    </xdr:from>
    <xdr:to>
      <xdr:col>4</xdr:col>
      <xdr:colOff>66675</xdr:colOff>
      <xdr:row>6</xdr:row>
      <xdr:rowOff>123825</xdr:rowOff>
    </xdr:to>
    <xdr:sp macro="" textlink="">
      <xdr:nvSpPr>
        <xdr:cNvPr id="127" name="Shape 127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/>
      </xdr:nvSpPr>
      <xdr:spPr>
        <a:xfrm>
          <a:off x="581977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1600" y="0"/>
              </a:moveTo>
              <a:lnTo>
                <a:pt x="0" y="10759"/>
              </a:lnTo>
              <a:lnTo>
                <a:pt x="21600" y="21600"/>
              </a:lnTo>
              <a:lnTo>
                <a:pt x="21600" y="0"/>
              </a:lnTo>
              <a:lnTo>
                <a:pt x="0" y="10759"/>
              </a:lnTo>
              <a:lnTo>
                <a:pt x="2160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66675</xdr:colOff>
      <xdr:row>6</xdr:row>
      <xdr:rowOff>93662</xdr:rowOff>
    </xdr:from>
    <xdr:to>
      <xdr:col>7</xdr:col>
      <xdr:colOff>85725</xdr:colOff>
      <xdr:row>6</xdr:row>
      <xdr:rowOff>106362</xdr:rowOff>
    </xdr:to>
    <xdr:sp macro="" textlink="">
      <xdr:nvSpPr>
        <xdr:cNvPr id="128" name="Shape 128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/>
      </xdr:nvSpPr>
      <xdr:spPr>
        <a:xfrm>
          <a:off x="5857875" y="1141412"/>
          <a:ext cx="2609850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85725</xdr:colOff>
      <xdr:row>6</xdr:row>
      <xdr:rowOff>76200</xdr:rowOff>
    </xdr:from>
    <xdr:to>
      <xdr:col>7</xdr:col>
      <xdr:colOff>123825</xdr:colOff>
      <xdr:row>6</xdr:row>
      <xdr:rowOff>123825</xdr:rowOff>
    </xdr:to>
    <xdr:sp macro="" textlink="">
      <xdr:nvSpPr>
        <xdr:cNvPr id="129" name="Shape 129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/>
      </xdr:nvSpPr>
      <xdr:spPr>
        <a:xfrm>
          <a:off x="8467725" y="1123950"/>
          <a:ext cx="38100" cy="4762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10759"/>
              </a:lnTo>
              <a:lnTo>
                <a:pt x="0" y="21600"/>
              </a:lnTo>
              <a:lnTo>
                <a:pt x="0" y="0"/>
              </a:lnTo>
              <a:lnTo>
                <a:pt x="21600" y="10759"/>
              </a:lnTo>
              <a:lnTo>
                <a:pt x="0" y="0"/>
              </a:lnTo>
              <a:close/>
            </a:path>
          </a:pathLst>
        </a:cu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317305</xdr:colOff>
      <xdr:row>5</xdr:row>
      <xdr:rowOff>40001</xdr:rowOff>
    </xdr:from>
    <xdr:to>
      <xdr:col>5</xdr:col>
      <xdr:colOff>489502</xdr:colOff>
      <xdr:row>6</xdr:row>
      <xdr:rowOff>82546</xdr:rowOff>
    </xdr:to>
    <xdr:sp macro="" textlink="">
      <xdr:nvSpPr>
        <xdr:cNvPr id="130" name="Shape 130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 txBox="1"/>
      </xdr:nvSpPr>
      <xdr:spPr>
        <a:xfrm>
          <a:off x="7073705" y="925826"/>
          <a:ext cx="17219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W</a:t>
          </a:r>
        </a:p>
      </xdr:txBody>
    </xdr:sp>
    <xdr:clientData/>
  </xdr:twoCellAnchor>
  <xdr:twoCellAnchor>
    <xdr:from>
      <xdr:col>5</xdr:col>
      <xdr:colOff>307111</xdr:colOff>
      <xdr:row>16</xdr:row>
      <xdr:rowOff>91436</xdr:rowOff>
    </xdr:from>
    <xdr:to>
      <xdr:col>5</xdr:col>
      <xdr:colOff>535378</xdr:colOff>
      <xdr:row>17</xdr:row>
      <xdr:rowOff>133981</xdr:rowOff>
    </xdr:to>
    <xdr:sp macro="" textlink="">
      <xdr:nvSpPr>
        <xdr:cNvPr id="131" name="Shape 131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 txBox="1"/>
      </xdr:nvSpPr>
      <xdr:spPr>
        <a:xfrm>
          <a:off x="7063511" y="2767961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Do</a:t>
          </a:r>
        </a:p>
      </xdr:txBody>
    </xdr:sp>
    <xdr:clientData/>
  </xdr:twoCellAnchor>
  <xdr:twoCellAnchor>
    <xdr:from>
      <xdr:col>5</xdr:col>
      <xdr:colOff>364916</xdr:colOff>
      <xdr:row>9</xdr:row>
      <xdr:rowOff>146682</xdr:rowOff>
    </xdr:from>
    <xdr:to>
      <xdr:col>5</xdr:col>
      <xdr:colOff>537194</xdr:colOff>
      <xdr:row>11</xdr:row>
      <xdr:rowOff>27302</xdr:rowOff>
    </xdr:to>
    <xdr:sp macro="" textlink="">
      <xdr:nvSpPr>
        <xdr:cNvPr id="132" name="Shape 132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 txBox="1"/>
      </xdr:nvSpPr>
      <xdr:spPr>
        <a:xfrm>
          <a:off x="7121316" y="1680207"/>
          <a:ext cx="17227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Di</a:t>
          </a:r>
        </a:p>
      </xdr:txBody>
    </xdr:sp>
    <xdr:clientData/>
  </xdr:twoCellAnchor>
  <xdr:twoCellAnchor>
    <xdr:from>
      <xdr:col>6</xdr:col>
      <xdr:colOff>365941</xdr:colOff>
      <xdr:row>8</xdr:row>
      <xdr:rowOff>93343</xdr:rowOff>
    </xdr:from>
    <xdr:to>
      <xdr:col>6</xdr:col>
      <xdr:colOff>584959</xdr:colOff>
      <xdr:row>9</xdr:row>
      <xdr:rowOff>135888</xdr:rowOff>
    </xdr:to>
    <xdr:sp macro="" textlink="">
      <xdr:nvSpPr>
        <xdr:cNvPr id="133" name="Shape 133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 txBox="1"/>
      </xdr:nvSpPr>
      <xdr:spPr>
        <a:xfrm>
          <a:off x="7858941" y="1464943"/>
          <a:ext cx="219019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Bh</a:t>
          </a:r>
        </a:p>
      </xdr:txBody>
    </xdr:sp>
    <xdr:clientData/>
  </xdr:twoCellAnchor>
  <xdr:twoCellAnchor>
    <xdr:from>
      <xdr:col>6</xdr:col>
      <xdr:colOff>288061</xdr:colOff>
      <xdr:row>16</xdr:row>
      <xdr:rowOff>116204</xdr:rowOff>
    </xdr:from>
    <xdr:to>
      <xdr:col>6</xdr:col>
      <xdr:colOff>516328</xdr:colOff>
      <xdr:row>17</xdr:row>
      <xdr:rowOff>158749</xdr:rowOff>
    </xdr:to>
    <xdr:sp macro="" textlink="">
      <xdr:nvSpPr>
        <xdr:cNvPr id="134" name="Shape 134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 txBox="1"/>
      </xdr:nvSpPr>
      <xdr:spPr>
        <a:xfrm>
          <a:off x="7781061" y="2792729"/>
          <a:ext cx="228268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Ch</a:t>
          </a:r>
        </a:p>
      </xdr:txBody>
    </xdr:sp>
    <xdr:clientData/>
  </xdr:twoCellAnchor>
  <xdr:twoCellAnchor>
    <xdr:from>
      <xdr:col>6</xdr:col>
      <xdr:colOff>300576</xdr:colOff>
      <xdr:row>10</xdr:row>
      <xdr:rowOff>28571</xdr:rowOff>
    </xdr:from>
    <xdr:to>
      <xdr:col>6</xdr:col>
      <xdr:colOff>491435</xdr:colOff>
      <xdr:row>11</xdr:row>
      <xdr:rowOff>71116</xdr:rowOff>
    </xdr:to>
    <xdr:sp macro="" textlink="">
      <xdr:nvSpPr>
        <xdr:cNvPr id="135" name="Shape 135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 txBox="1"/>
      </xdr:nvSpPr>
      <xdr:spPr>
        <a:xfrm>
          <a:off x="7793576" y="1724021"/>
          <a:ext cx="190860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Cr</a:t>
          </a:r>
        </a:p>
      </xdr:txBody>
    </xdr:sp>
    <xdr:clientData/>
  </xdr:twoCellAnchor>
  <xdr:twoCellAnchor>
    <xdr:from>
      <xdr:col>4</xdr:col>
      <xdr:colOff>41909</xdr:colOff>
      <xdr:row>3</xdr:row>
      <xdr:rowOff>28574</xdr:rowOff>
    </xdr:from>
    <xdr:to>
      <xdr:col>4</xdr:col>
      <xdr:colOff>812665</xdr:colOff>
      <xdr:row>4</xdr:row>
      <xdr:rowOff>71119</xdr:rowOff>
    </xdr:to>
    <xdr:sp macro="" textlink="">
      <xdr:nvSpPr>
        <xdr:cNvPr id="136" name="Shape 136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 txBox="1"/>
      </xdr:nvSpPr>
      <xdr:spPr>
        <a:xfrm>
          <a:off x="5833109" y="590549"/>
          <a:ext cx="77075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BACKFILL</a:t>
          </a:r>
        </a:p>
      </xdr:txBody>
    </xdr:sp>
    <xdr:clientData/>
  </xdr:twoCellAnchor>
  <xdr:twoCellAnchor>
    <xdr:from>
      <xdr:col>3</xdr:col>
      <xdr:colOff>919478</xdr:colOff>
      <xdr:row>13</xdr:row>
      <xdr:rowOff>66671</xdr:rowOff>
    </xdr:from>
    <xdr:to>
      <xdr:col>4</xdr:col>
      <xdr:colOff>851910</xdr:colOff>
      <xdr:row>14</xdr:row>
      <xdr:rowOff>99691</xdr:rowOff>
    </xdr:to>
    <xdr:sp macro="" textlink="">
      <xdr:nvSpPr>
        <xdr:cNvPr id="137" name="Shape 137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 txBox="1"/>
      </xdr:nvSpPr>
      <xdr:spPr>
        <a:xfrm>
          <a:off x="5745477" y="2247896"/>
          <a:ext cx="897634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GRANULAR</a:t>
          </a:r>
        </a:p>
      </xdr:txBody>
    </xdr:sp>
    <xdr:clientData/>
  </xdr:twoCellAnchor>
  <xdr:twoCellAnchor>
    <xdr:from>
      <xdr:col>3</xdr:col>
      <xdr:colOff>938528</xdr:colOff>
      <xdr:row>8</xdr:row>
      <xdr:rowOff>75916</xdr:rowOff>
    </xdr:from>
    <xdr:to>
      <xdr:col>5</xdr:col>
      <xdr:colOff>463034</xdr:colOff>
      <xdr:row>9</xdr:row>
      <xdr:rowOff>118461</xdr:rowOff>
    </xdr:to>
    <xdr:sp macro="" textlink="">
      <xdr:nvSpPr>
        <xdr:cNvPr id="138" name="Shape 138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 txBox="1"/>
      </xdr:nvSpPr>
      <xdr:spPr>
        <a:xfrm>
          <a:off x="5764528" y="1447516"/>
          <a:ext cx="1454907" cy="20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defRPr>
          </a:pPr>
          <a:r>
            <a:rPr sz="1200" b="0" i="0" u="none" strike="noStrike" cap="none" spc="0" baseline="0">
              <a:solidFill>
                <a:srgbClr val="333300"/>
              </a:solidFill>
              <a:uFillTx/>
              <a:latin typeface="AvantGarde Md BT"/>
              <a:ea typeface="AvantGarde Md BT"/>
              <a:cs typeface="AvantGarde Md BT"/>
              <a:sym typeface="AvantGarde Md BT"/>
            </a:rPr>
            <a:t>FILL BLANKET</a:t>
          </a:r>
        </a:p>
      </xdr:txBody>
    </xdr:sp>
    <xdr:clientData/>
  </xdr:twoCellAnchor>
  <xdr:twoCellAnchor>
    <xdr:from>
      <xdr:col>6</xdr:col>
      <xdr:colOff>152400</xdr:colOff>
      <xdr:row>11</xdr:row>
      <xdr:rowOff>112709</xdr:rowOff>
    </xdr:from>
    <xdr:to>
      <xdr:col>6</xdr:col>
      <xdr:colOff>371475</xdr:colOff>
      <xdr:row>11</xdr:row>
      <xdr:rowOff>125409</xdr:rowOff>
    </xdr:to>
    <xdr:sp macro="" textlink="">
      <xdr:nvSpPr>
        <xdr:cNvPr id="139" name="Shape 139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/>
      </xdr:nvSpPr>
      <xdr:spPr>
        <a:xfrm>
          <a:off x="7645400" y="1970084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152400</xdr:colOff>
      <xdr:row>16</xdr:row>
      <xdr:rowOff>84134</xdr:rowOff>
    </xdr:from>
    <xdr:to>
      <xdr:col>6</xdr:col>
      <xdr:colOff>371475</xdr:colOff>
      <xdr:row>16</xdr:row>
      <xdr:rowOff>96834</xdr:rowOff>
    </xdr:to>
    <xdr:sp macro="" textlink="">
      <xdr:nvSpPr>
        <xdr:cNvPr id="140" name="Shape 140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/>
      </xdr:nvSpPr>
      <xdr:spPr>
        <a:xfrm>
          <a:off x="7645400" y="2760659"/>
          <a:ext cx="21907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228600</xdr:colOff>
      <xdr:row>18</xdr:row>
      <xdr:rowOff>131759</xdr:rowOff>
    </xdr:from>
    <xdr:to>
      <xdr:col>6</xdr:col>
      <xdr:colOff>161925</xdr:colOff>
      <xdr:row>18</xdr:row>
      <xdr:rowOff>144459</xdr:rowOff>
    </xdr:to>
    <xdr:sp macro="" textlink="">
      <xdr:nvSpPr>
        <xdr:cNvPr id="141" name="Shape 141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/>
      </xdr:nvSpPr>
      <xdr:spPr>
        <a:xfrm>
          <a:off x="6985000" y="3132134"/>
          <a:ext cx="669925" cy="12701"/>
        </a:xfrm>
        <a:prstGeom prst="rect">
          <a:avLst/>
        </a:prstGeom>
        <a:solidFill>
          <a:srgbClr val="1F1A17"/>
        </a:solid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workbookViewId="0"/>
  </sheetViews>
  <sheetFormatPr defaultColWidth="10" defaultRowHeight="13" customHeight="1"/>
  <cols>
    <col min="1" max="1" width="2" style="4" customWidth="1"/>
    <col min="2" max="4" width="33.453125" style="4" customWidth="1"/>
    <col min="5" max="5" width="10" style="4" customWidth="1"/>
    <col min="6" max="16384" width="10" style="4"/>
  </cols>
  <sheetData>
    <row r="1" spans="1:4" ht="13.75" customHeight="1">
      <c r="A1" s="5"/>
      <c r="B1" s="6"/>
      <c r="C1" s="6"/>
      <c r="D1" s="7"/>
    </row>
    <row r="2" spans="1:4" ht="13.75" customHeight="1">
      <c r="A2" s="8"/>
      <c r="B2" s="9"/>
      <c r="C2" s="9"/>
      <c r="D2" s="10"/>
    </row>
    <row r="3" spans="1:4" ht="0" hidden="1" customHeight="1">
      <c r="A3" s="8"/>
      <c r="B3" s="447" t="s">
        <v>4</v>
      </c>
      <c r="C3" s="448"/>
      <c r="D3" s="449"/>
    </row>
    <row r="4" spans="1:4" ht="13.75" customHeight="1">
      <c r="A4" s="8"/>
      <c r="B4" s="9"/>
      <c r="C4" s="9"/>
      <c r="D4" s="10"/>
    </row>
    <row r="5" spans="1:4" ht="13.75" customHeight="1">
      <c r="A5" s="8"/>
      <c r="B5" s="9"/>
      <c r="C5" s="9"/>
      <c r="D5" s="10"/>
    </row>
    <row r="6" spans="1:4" ht="13.75" customHeight="1">
      <c r="A6" s="8"/>
      <c r="B6" s="9"/>
      <c r="C6" s="9"/>
      <c r="D6" s="10"/>
    </row>
    <row r="7" spans="1:4" ht="17.5">
      <c r="A7" s="8"/>
      <c r="B7" s="11" t="s">
        <v>0</v>
      </c>
      <c r="C7" s="11" t="s">
        <v>1</v>
      </c>
      <c r="D7" s="12" t="s">
        <v>2</v>
      </c>
    </row>
    <row r="8" spans="1:4" ht="13.75" customHeight="1">
      <c r="A8" s="8"/>
      <c r="B8" s="9"/>
      <c r="C8" s="9"/>
      <c r="D8" s="10"/>
    </row>
    <row r="9" spans="1:4" ht="15.5">
      <c r="A9" s="8"/>
      <c r="B9" s="13" t="s">
        <v>5</v>
      </c>
      <c r="C9" s="14"/>
      <c r="D9" s="15"/>
    </row>
    <row r="10" spans="1:4" ht="15.5">
      <c r="A10" s="8"/>
      <c r="B10" s="16"/>
      <c r="C10" s="17" t="s">
        <v>3</v>
      </c>
      <c r="D10" s="18" t="s">
        <v>6</v>
      </c>
    </row>
    <row r="11" spans="1:4" ht="13" customHeight="1">
      <c r="A11" s="8"/>
      <c r="B11" s="1" t="s">
        <v>7</v>
      </c>
      <c r="C11" s="1"/>
      <c r="D11" s="1"/>
    </row>
    <row r="12" spans="1:4" ht="13" customHeight="1">
      <c r="A12" s="8"/>
      <c r="B12" s="2"/>
      <c r="C12" s="2" t="s">
        <v>3</v>
      </c>
      <c r="D12" s="3" t="s">
        <v>7</v>
      </c>
    </row>
    <row r="13" spans="1:4" ht="13" customHeight="1">
      <c r="A13" s="8"/>
      <c r="B13" s="1" t="s">
        <v>8</v>
      </c>
      <c r="C13" s="1"/>
      <c r="D13" s="1"/>
    </row>
    <row r="14" spans="1:4" ht="13" customHeight="1">
      <c r="A14" s="8"/>
      <c r="B14" s="2"/>
      <c r="C14" s="2" t="s">
        <v>3</v>
      </c>
      <c r="D14" s="3" t="s">
        <v>8</v>
      </c>
    </row>
    <row r="15" spans="1:4" ht="13" customHeight="1">
      <c r="A15" s="8"/>
      <c r="B15" s="1" t="s">
        <v>9</v>
      </c>
      <c r="C15" s="1"/>
      <c r="D15" s="1"/>
    </row>
    <row r="16" spans="1:4" ht="13" customHeight="1">
      <c r="A16" s="8"/>
      <c r="B16" s="2"/>
      <c r="C16" s="2" t="s">
        <v>3</v>
      </c>
      <c r="D16" s="3" t="s">
        <v>9</v>
      </c>
    </row>
    <row r="17" spans="1:4" ht="13" customHeight="1">
      <c r="A17" s="8"/>
      <c r="B17" s="1" t="s">
        <v>10</v>
      </c>
      <c r="C17" s="1"/>
      <c r="D17" s="1"/>
    </row>
    <row r="18" spans="1:4" ht="13" customHeight="1">
      <c r="A18" s="8"/>
      <c r="B18" s="2"/>
      <c r="C18" s="2" t="s">
        <v>3</v>
      </c>
      <c r="D18" s="3" t="s">
        <v>10</v>
      </c>
    </row>
    <row r="19" spans="1:4" ht="13" customHeight="1">
      <c r="A19" s="8"/>
      <c r="B19" s="1" t="s">
        <v>11</v>
      </c>
      <c r="C19" s="1"/>
      <c r="D19" s="1"/>
    </row>
    <row r="20" spans="1:4" ht="13" customHeight="1">
      <c r="A20" s="8"/>
      <c r="B20" s="2"/>
      <c r="C20" s="2" t="s">
        <v>3</v>
      </c>
      <c r="D20" s="3" t="s">
        <v>11</v>
      </c>
    </row>
    <row r="21" spans="1:4" ht="13" customHeight="1">
      <c r="A21" s="8"/>
      <c r="B21" s="1" t="s">
        <v>12</v>
      </c>
      <c r="C21" s="1"/>
      <c r="D21" s="1"/>
    </row>
    <row r="22" spans="1:4" ht="13" customHeight="1">
      <c r="A22" s="8"/>
      <c r="B22" s="2"/>
      <c r="C22" s="2" t="s">
        <v>3</v>
      </c>
      <c r="D22" s="3" t="s">
        <v>12</v>
      </c>
    </row>
    <row r="23" spans="1:4" ht="13" customHeight="1">
      <c r="A23" s="8"/>
      <c r="B23" s="1" t="s">
        <v>13</v>
      </c>
      <c r="C23" s="1"/>
      <c r="D23" s="1"/>
    </row>
    <row r="24" spans="1:4" ht="13" customHeight="1">
      <c r="A24" s="8"/>
      <c r="B24" s="2"/>
      <c r="C24" s="2" t="s">
        <v>3</v>
      </c>
      <c r="D24" s="3" t="s">
        <v>13</v>
      </c>
    </row>
    <row r="25" spans="1:4" ht="13" customHeight="1">
      <c r="A25" s="8"/>
      <c r="B25" s="1" t="s">
        <v>14</v>
      </c>
      <c r="C25" s="1"/>
      <c r="D25" s="1"/>
    </row>
    <row r="26" spans="1:4" ht="13" customHeight="1">
      <c r="A26" s="19"/>
      <c r="B26" s="2"/>
      <c r="C26" s="2" t="s">
        <v>3</v>
      </c>
      <c r="D26" s="3" t="s">
        <v>14</v>
      </c>
    </row>
  </sheetData>
  <mergeCells count="1">
    <mergeCell ref="B3:D3"/>
  </mergeCells>
  <hyperlinks>
    <hyperlink ref="D10" location="'Export Summary'!R1C1" display="Export Summary" xr:uid="{00000000-0004-0000-0000-000000000000}"/>
    <hyperlink ref="D10" location="'Export Summary'!R1C1" display="Annex Cover XXX Village" xr:uid="{00000000-0004-0000-0000-000001000000}"/>
    <hyperlink ref="D12" location="'Sched1 P&amp;G'!R1C1" display="Sched1 P&amp;G" xr:uid="{00000000-0004-0000-0000-000002000000}"/>
    <hyperlink ref="D14" location="'Sched2 Site Clearance'!R1C1" display="Sched2 Site Clearance" xr:uid="{00000000-0004-0000-0000-000003000000}"/>
    <hyperlink ref="D16" location="'Sched3 Wat Earthworks'!R1C1" display="Sched3 Wat Earthworks" xr:uid="{00000000-0004-0000-0000-000004000000}"/>
    <hyperlink ref="D18" location="'Sched4 Wat Pipeworks'!R1C1" display="Sched4 Wat Pipeworks" xr:uid="{00000000-0004-0000-0000-000005000000}"/>
    <hyperlink ref="D20" location="'Summary'!R1C1" display="Summary" xr:uid="{00000000-0004-0000-0000-000006000000}"/>
    <hyperlink ref="D22" location="'Flexible  (2)'!R1C1" display="Flexible  (2)" xr:uid="{00000000-0004-0000-0000-000007000000}"/>
    <hyperlink ref="D24" location="'Flexible Bulk Steel'!R1C1" display="Flexible Bulk Steel" xr:uid="{00000000-0004-0000-0000-000008000000}"/>
    <hyperlink ref="D26" location="'Flexible '!R1C1" display="Flexible " xr:uid="{00000000-0004-0000-0000-000009000000}"/>
    <hyperlink ref="D12" location="'Sched1 P&amp;G'!R1C1" display="Sched1 P&amp;G" xr:uid="{00000000-0004-0000-0000-00000A000000}"/>
    <hyperlink ref="D14" location="'Sched2 Site Clearance'!R1C1" display="Sched2 Site Clearance" xr:uid="{00000000-0004-0000-0000-00000B000000}"/>
    <hyperlink ref="D16" location="'Sched3 Wat Earthworks'!R1C1" display="Sched3 Wat Earthworks" xr:uid="{00000000-0004-0000-0000-00000C000000}"/>
    <hyperlink ref="D18" location="'Sched4 Wat Pipeworks'!R1C1" display="Sched4 Wat Pipeworks" xr:uid="{00000000-0004-0000-0000-00000D000000}"/>
    <hyperlink ref="D20" location="'Summary'!R1C1" display="Summary" xr:uid="{00000000-0004-0000-0000-00000E000000}"/>
    <hyperlink ref="D22" location="'Flexible  (2)'!R1C1" display="Flexible  (2)" xr:uid="{00000000-0004-0000-0000-00000F000000}"/>
    <hyperlink ref="D24" location="'Flexible Bulk Steel'!R1C1" display="Flexible Bulk Steel" xr:uid="{00000000-0004-0000-0000-000010000000}"/>
    <hyperlink ref="D26" location="'Flexible '!R1C1" display="Flexible " xr:uid="{00000000-0004-0000-0000-000011000000}"/>
  </hyperlinks>
  <pageMargins left="0.7" right="0.7" top="0.75" bottom="0.75" header="0.3" footer="0.3"/>
  <pageSetup scale="80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2"/>
  <sheetViews>
    <sheetView showGridLines="0" tabSelected="1" view="pageLayout" topLeftCell="A103" zoomScaleNormal="100" workbookViewId="0">
      <selection activeCell="C128" sqref="C128"/>
    </sheetView>
  </sheetViews>
  <sheetFormatPr defaultColWidth="12.453125" defaultRowHeight="12.75" customHeight="1"/>
  <cols>
    <col min="1" max="1" width="5.7265625" style="20" customWidth="1"/>
    <col min="2" max="2" width="14.453125" style="20" customWidth="1"/>
    <col min="3" max="3" width="41.81640625" style="20" customWidth="1"/>
    <col min="4" max="4" width="8.7265625" style="20" customWidth="1"/>
    <col min="5" max="5" width="10" style="20" customWidth="1"/>
    <col min="6" max="6" width="10.26953125" style="20" customWidth="1"/>
    <col min="7" max="7" width="12.7265625" style="20" customWidth="1"/>
    <col min="8" max="8" width="12.453125" style="20" customWidth="1"/>
    <col min="9" max="16384" width="12.453125" style="20"/>
  </cols>
  <sheetData>
    <row r="1" spans="1:7" ht="12.75" customHeight="1">
      <c r="A1" s="452"/>
      <c r="B1" s="452"/>
      <c r="C1" s="21"/>
      <c r="D1" s="22"/>
      <c r="E1" s="21"/>
      <c r="F1" s="23"/>
      <c r="G1" s="21"/>
    </row>
    <row r="2" spans="1:7" ht="12.75" customHeight="1">
      <c r="A2" s="452"/>
      <c r="B2" s="452"/>
      <c r="C2" s="453"/>
      <c r="D2" s="453"/>
      <c r="E2" s="453"/>
      <c r="F2" s="453"/>
      <c r="G2" s="453"/>
    </row>
    <row r="3" spans="1:7" ht="12.75" customHeight="1">
      <c r="A3" s="22"/>
      <c r="B3" s="25"/>
      <c r="C3" s="26"/>
      <c r="D3" s="23"/>
      <c r="E3" s="23"/>
      <c r="F3" s="25"/>
      <c r="G3" s="26"/>
    </row>
    <row r="4" spans="1:7" ht="12.75" customHeight="1">
      <c r="A4" s="22"/>
      <c r="B4" s="22"/>
      <c r="C4" s="27"/>
      <c r="D4" s="28" t="str">
        <f>C10</f>
        <v xml:space="preserve">SCHEDULE  1: </v>
      </c>
      <c r="E4" s="22"/>
      <c r="F4" s="25"/>
      <c r="G4" s="29" t="s">
        <v>15</v>
      </c>
    </row>
    <row r="5" spans="1:7" ht="12.75" customHeight="1">
      <c r="A5" s="30"/>
      <c r="B5" s="30"/>
      <c r="C5" s="31"/>
      <c r="D5" s="23"/>
      <c r="E5" s="22"/>
      <c r="F5" s="25"/>
      <c r="G5" s="24"/>
    </row>
    <row r="6" spans="1:7" ht="12.75" customHeight="1">
      <c r="A6" s="32"/>
      <c r="B6" s="32"/>
      <c r="C6" s="33"/>
      <c r="D6" s="30"/>
      <c r="E6" s="30"/>
      <c r="F6" s="454"/>
      <c r="G6" s="454"/>
    </row>
    <row r="7" spans="1:7" ht="12.75" customHeight="1">
      <c r="A7" s="34"/>
      <c r="B7" s="35" t="s">
        <v>17</v>
      </c>
      <c r="C7" s="36"/>
      <c r="D7" s="34"/>
      <c r="E7" s="34"/>
      <c r="F7" s="35" t="s">
        <v>18</v>
      </c>
      <c r="G7" s="35" t="s">
        <v>19</v>
      </c>
    </row>
    <row r="8" spans="1:7" ht="12.75" customHeight="1">
      <c r="A8" s="37" t="s">
        <v>20</v>
      </c>
      <c r="B8" s="37" t="s">
        <v>21</v>
      </c>
      <c r="C8" s="37" t="s">
        <v>22</v>
      </c>
      <c r="D8" s="37" t="s">
        <v>23</v>
      </c>
      <c r="E8" s="37" t="s">
        <v>24</v>
      </c>
      <c r="F8" s="37" t="s">
        <v>25</v>
      </c>
      <c r="G8" s="37" t="s">
        <v>25</v>
      </c>
    </row>
    <row r="9" spans="1:7" ht="12.75" customHeight="1">
      <c r="A9" s="38"/>
      <c r="B9" s="39"/>
      <c r="C9" s="39"/>
      <c r="D9" s="38"/>
      <c r="E9" s="38"/>
      <c r="F9" s="39"/>
      <c r="G9" s="39"/>
    </row>
    <row r="10" spans="1:7" ht="12.75" customHeight="1">
      <c r="A10" s="40"/>
      <c r="B10" s="41" t="s">
        <v>26</v>
      </c>
      <c r="C10" s="42" t="s">
        <v>27</v>
      </c>
      <c r="D10" s="40"/>
      <c r="E10" s="40"/>
      <c r="F10" s="43"/>
      <c r="G10" s="43"/>
    </row>
    <row r="11" spans="1:7" ht="12.75" customHeight="1">
      <c r="A11" s="44">
        <v>1</v>
      </c>
      <c r="B11" s="41" t="s">
        <v>28</v>
      </c>
      <c r="C11" s="45" t="s">
        <v>15</v>
      </c>
      <c r="D11" s="40"/>
      <c r="E11" s="40"/>
      <c r="F11" s="43"/>
      <c r="G11" s="43"/>
    </row>
    <row r="12" spans="1:7" ht="12.75" customHeight="1">
      <c r="A12" s="40"/>
      <c r="B12" s="40"/>
      <c r="C12" s="43"/>
      <c r="D12" s="41" t="s">
        <v>29</v>
      </c>
      <c r="E12" s="41" t="s">
        <v>29</v>
      </c>
      <c r="F12" s="45" t="s">
        <v>29</v>
      </c>
      <c r="G12" s="46"/>
    </row>
    <row r="13" spans="1:7" ht="12.75" customHeight="1">
      <c r="A13" s="47"/>
      <c r="B13" s="47"/>
      <c r="C13" s="48"/>
      <c r="D13" s="47"/>
      <c r="E13" s="47"/>
      <c r="F13" s="43"/>
      <c r="G13" s="46"/>
    </row>
    <row r="14" spans="1:7" ht="12.75" customHeight="1">
      <c r="A14" s="44">
        <v>1.1000000000000001</v>
      </c>
      <c r="B14" s="44">
        <v>8.3000000000000007</v>
      </c>
      <c r="C14" s="42" t="s">
        <v>30</v>
      </c>
      <c r="D14" s="41" t="s">
        <v>29</v>
      </c>
      <c r="E14" s="41" t="s">
        <v>29</v>
      </c>
      <c r="F14" s="45" t="s">
        <v>29</v>
      </c>
      <c r="G14" s="46"/>
    </row>
    <row r="15" spans="1:7" ht="12.75" customHeight="1">
      <c r="A15" s="43"/>
      <c r="B15" s="40"/>
      <c r="C15" s="43"/>
      <c r="D15" s="40"/>
      <c r="E15" s="40"/>
      <c r="F15" s="43"/>
      <c r="G15" s="46"/>
    </row>
    <row r="16" spans="1:7" ht="12.75" customHeight="1">
      <c r="A16" s="41" t="s">
        <v>31</v>
      </c>
      <c r="B16" s="41" t="s">
        <v>32</v>
      </c>
      <c r="C16" s="45" t="s">
        <v>33</v>
      </c>
      <c r="D16" s="41" t="s">
        <v>34</v>
      </c>
      <c r="E16" s="44">
        <v>1</v>
      </c>
      <c r="F16" s="49"/>
      <c r="G16" s="46"/>
    </row>
    <row r="17" spans="1:7" ht="12.75" customHeight="1">
      <c r="A17" s="40"/>
      <c r="B17" s="40"/>
      <c r="C17" s="43"/>
      <c r="D17" s="40"/>
      <c r="E17" s="40"/>
      <c r="F17" s="49"/>
      <c r="G17" s="46"/>
    </row>
    <row r="18" spans="1:7" ht="12.75" customHeight="1">
      <c r="A18" s="40"/>
      <c r="B18" s="41" t="s">
        <v>35</v>
      </c>
      <c r="C18" s="45" t="s">
        <v>36</v>
      </c>
      <c r="D18" s="41" t="s">
        <v>29</v>
      </c>
      <c r="E18" s="41" t="s">
        <v>29</v>
      </c>
      <c r="F18" s="49"/>
      <c r="G18" s="46"/>
    </row>
    <row r="19" spans="1:7" ht="12.75" customHeight="1">
      <c r="A19" s="43"/>
      <c r="B19" s="40"/>
      <c r="C19" s="43"/>
      <c r="D19" s="40"/>
      <c r="E19" s="40"/>
      <c r="F19" s="49"/>
      <c r="G19" s="46"/>
    </row>
    <row r="20" spans="1:7" ht="12.75" customHeight="1">
      <c r="A20" s="41" t="s">
        <v>37</v>
      </c>
      <c r="B20" s="41" t="s">
        <v>38</v>
      </c>
      <c r="C20" s="45" t="s">
        <v>39</v>
      </c>
      <c r="D20" s="41" t="s">
        <v>29</v>
      </c>
      <c r="E20" s="41" t="s">
        <v>29</v>
      </c>
      <c r="F20" s="49"/>
      <c r="G20" s="46"/>
    </row>
    <row r="21" spans="1:7" ht="12.75" customHeight="1">
      <c r="A21" s="40"/>
      <c r="B21" s="41" t="s">
        <v>29</v>
      </c>
      <c r="C21" s="45" t="s">
        <v>29</v>
      </c>
      <c r="D21" s="50" t="s">
        <v>29</v>
      </c>
      <c r="E21" s="41" t="s">
        <v>29</v>
      </c>
      <c r="F21" s="49"/>
      <c r="G21" s="46"/>
    </row>
    <row r="22" spans="1:7" ht="12.75" customHeight="1">
      <c r="A22" s="40"/>
      <c r="B22" s="40"/>
      <c r="C22" s="45" t="s">
        <v>40</v>
      </c>
      <c r="D22" s="41" t="s">
        <v>41</v>
      </c>
      <c r="E22" s="44">
        <v>1</v>
      </c>
      <c r="F22" s="49"/>
      <c r="G22" s="46"/>
    </row>
    <row r="23" spans="1:7" ht="12.75" customHeight="1">
      <c r="A23" s="47"/>
      <c r="B23" s="45" t="s">
        <v>29</v>
      </c>
      <c r="C23" s="45" t="s">
        <v>29</v>
      </c>
      <c r="D23" s="41" t="s">
        <v>29</v>
      </c>
      <c r="E23" s="41" t="s">
        <v>29</v>
      </c>
      <c r="F23" s="49"/>
      <c r="G23" s="46"/>
    </row>
    <row r="24" spans="1:7" ht="12.75" customHeight="1">
      <c r="A24" s="40"/>
      <c r="B24" s="41" t="s">
        <v>29</v>
      </c>
      <c r="C24" s="45" t="s">
        <v>42</v>
      </c>
      <c r="D24" s="41" t="s">
        <v>34</v>
      </c>
      <c r="E24" s="44">
        <v>1</v>
      </c>
      <c r="F24" s="49"/>
      <c r="G24" s="46"/>
    </row>
    <row r="25" spans="1:7" ht="12.75" customHeight="1">
      <c r="A25" s="43"/>
      <c r="B25" s="41" t="s">
        <v>29</v>
      </c>
      <c r="C25" s="45" t="s">
        <v>29</v>
      </c>
      <c r="D25" s="41" t="s">
        <v>29</v>
      </c>
      <c r="E25" s="41" t="s">
        <v>29</v>
      </c>
      <c r="F25" s="49"/>
      <c r="G25" s="46"/>
    </row>
    <row r="26" spans="1:7" ht="12.75" customHeight="1">
      <c r="A26" s="40"/>
      <c r="B26" s="45" t="s">
        <v>29</v>
      </c>
      <c r="C26" s="45" t="s">
        <v>43</v>
      </c>
      <c r="D26" s="41" t="s">
        <v>34</v>
      </c>
      <c r="E26" s="44">
        <v>1</v>
      </c>
      <c r="F26" s="49"/>
      <c r="G26" s="46"/>
    </row>
    <row r="27" spans="1:7" ht="12.75" customHeight="1">
      <c r="A27" s="40"/>
      <c r="B27" s="43"/>
      <c r="C27" s="43"/>
      <c r="D27" s="40"/>
      <c r="E27" s="40"/>
      <c r="F27" s="49"/>
      <c r="G27" s="46"/>
    </row>
    <row r="28" spans="1:7" ht="12.75" customHeight="1">
      <c r="A28" s="40"/>
      <c r="B28" s="45" t="s">
        <v>29</v>
      </c>
      <c r="C28" s="45" t="s">
        <v>44</v>
      </c>
      <c r="D28" s="41" t="s">
        <v>34</v>
      </c>
      <c r="E28" s="44">
        <v>1</v>
      </c>
      <c r="F28" s="49"/>
      <c r="G28" s="46"/>
    </row>
    <row r="29" spans="1:7" ht="12.75" customHeight="1">
      <c r="A29" s="40"/>
      <c r="B29" s="43"/>
      <c r="C29" s="43"/>
      <c r="D29" s="40"/>
      <c r="E29" s="40"/>
      <c r="F29" s="49"/>
      <c r="G29" s="46"/>
    </row>
    <row r="30" spans="1:7" ht="12.75" customHeight="1">
      <c r="A30" s="47"/>
      <c r="B30" s="43"/>
      <c r="C30" s="45" t="s">
        <v>45</v>
      </c>
      <c r="D30" s="41" t="s">
        <v>34</v>
      </c>
      <c r="E30" s="44">
        <v>1</v>
      </c>
      <c r="F30" s="49"/>
      <c r="G30" s="46"/>
    </row>
    <row r="31" spans="1:7" ht="12.75" customHeight="1">
      <c r="A31" s="43"/>
      <c r="B31" s="43"/>
      <c r="C31" s="43"/>
      <c r="D31" s="40"/>
      <c r="E31" s="40"/>
      <c r="F31" s="49"/>
      <c r="G31" s="46"/>
    </row>
    <row r="32" spans="1:7" ht="12.75" customHeight="1">
      <c r="A32" s="40"/>
      <c r="B32" s="41" t="s">
        <v>38</v>
      </c>
      <c r="C32" s="45" t="s">
        <v>46</v>
      </c>
      <c r="D32" s="41" t="s">
        <v>29</v>
      </c>
      <c r="E32" s="41" t="s">
        <v>29</v>
      </c>
      <c r="F32" s="49"/>
      <c r="G32" s="46"/>
    </row>
    <row r="33" spans="1:7" ht="12.75" customHeight="1">
      <c r="A33" s="40"/>
      <c r="B33" s="45" t="s">
        <v>29</v>
      </c>
      <c r="C33" s="45" t="s">
        <v>29</v>
      </c>
      <c r="D33" s="41" t="s">
        <v>29</v>
      </c>
      <c r="E33" s="41" t="s">
        <v>29</v>
      </c>
      <c r="F33" s="49"/>
      <c r="G33" s="46"/>
    </row>
    <row r="34" spans="1:7" ht="12.75" customHeight="1">
      <c r="A34" s="40"/>
      <c r="B34" s="45" t="s">
        <v>29</v>
      </c>
      <c r="C34" s="45" t="s">
        <v>47</v>
      </c>
      <c r="D34" s="41" t="s">
        <v>34</v>
      </c>
      <c r="E34" s="44">
        <v>1</v>
      </c>
      <c r="F34" s="49"/>
      <c r="G34" s="46"/>
    </row>
    <row r="35" spans="1:7" ht="12.75" customHeight="1">
      <c r="A35" s="43"/>
      <c r="B35" s="45" t="s">
        <v>29</v>
      </c>
      <c r="C35" s="45" t="s">
        <v>29</v>
      </c>
      <c r="D35" s="41" t="s">
        <v>29</v>
      </c>
      <c r="E35" s="41" t="s">
        <v>29</v>
      </c>
      <c r="F35" s="49"/>
      <c r="G35" s="46"/>
    </row>
    <row r="36" spans="1:7" ht="12.75" customHeight="1">
      <c r="A36" s="40"/>
      <c r="B36" s="41" t="s">
        <v>29</v>
      </c>
      <c r="C36" s="45" t="s">
        <v>48</v>
      </c>
      <c r="D36" s="41" t="s">
        <v>34</v>
      </c>
      <c r="E36" s="44">
        <v>1</v>
      </c>
      <c r="F36" s="49"/>
      <c r="G36" s="46"/>
    </row>
    <row r="37" spans="1:7" ht="12.75" customHeight="1">
      <c r="A37" s="43"/>
      <c r="B37" s="45" t="s">
        <v>29</v>
      </c>
      <c r="C37" s="45" t="s">
        <v>29</v>
      </c>
      <c r="D37" s="41" t="s">
        <v>29</v>
      </c>
      <c r="E37" s="41" t="s">
        <v>29</v>
      </c>
      <c r="F37" s="49"/>
      <c r="G37" s="46"/>
    </row>
    <row r="38" spans="1:7" ht="12.75" customHeight="1">
      <c r="A38" s="40"/>
      <c r="B38" s="41" t="s">
        <v>29</v>
      </c>
      <c r="C38" s="45" t="s">
        <v>49</v>
      </c>
      <c r="D38" s="41" t="s">
        <v>34</v>
      </c>
      <c r="E38" s="44">
        <v>1</v>
      </c>
      <c r="F38" s="49"/>
      <c r="G38" s="46"/>
    </row>
    <row r="39" spans="1:7" ht="12.75" customHeight="1">
      <c r="A39" s="40"/>
      <c r="B39" s="41" t="s">
        <v>29</v>
      </c>
      <c r="C39" s="45" t="s">
        <v>29</v>
      </c>
      <c r="D39" s="41" t="s">
        <v>29</v>
      </c>
      <c r="E39" s="41" t="s">
        <v>29</v>
      </c>
      <c r="F39" s="49"/>
      <c r="G39" s="46"/>
    </row>
    <row r="40" spans="1:7" ht="12.75" customHeight="1">
      <c r="A40" s="47"/>
      <c r="B40" s="40"/>
      <c r="C40" s="45" t="s">
        <v>50</v>
      </c>
      <c r="D40" s="41" t="s">
        <v>34</v>
      </c>
      <c r="E40" s="44">
        <v>1</v>
      </c>
      <c r="F40" s="49"/>
      <c r="G40" s="46"/>
    </row>
    <row r="41" spans="1:7" ht="12.75" customHeight="1">
      <c r="A41" s="40"/>
      <c r="B41" s="41" t="s">
        <v>29</v>
      </c>
      <c r="C41" s="45" t="s">
        <v>29</v>
      </c>
      <c r="D41" s="41" t="s">
        <v>29</v>
      </c>
      <c r="E41" s="41" t="s">
        <v>29</v>
      </c>
      <c r="F41" s="49"/>
      <c r="G41" s="46"/>
    </row>
    <row r="42" spans="1:7" ht="12.75" customHeight="1">
      <c r="A42" s="40"/>
      <c r="B42" s="41" t="s">
        <v>29</v>
      </c>
      <c r="C42" s="45" t="s">
        <v>51</v>
      </c>
      <c r="D42" s="41" t="s">
        <v>34</v>
      </c>
      <c r="E42" s="44">
        <v>1</v>
      </c>
      <c r="F42" s="49"/>
      <c r="G42" s="46"/>
    </row>
    <row r="43" spans="1:7" ht="12.75" customHeight="1">
      <c r="A43" s="40"/>
      <c r="B43" s="41" t="s">
        <v>29</v>
      </c>
      <c r="C43" s="45" t="s">
        <v>52</v>
      </c>
      <c r="D43" s="41" t="s">
        <v>29</v>
      </c>
      <c r="E43" s="41" t="s">
        <v>29</v>
      </c>
      <c r="F43" s="49"/>
      <c r="G43" s="46"/>
    </row>
    <row r="44" spans="1:7" ht="12.75" customHeight="1">
      <c r="A44" s="40"/>
      <c r="B44" s="40"/>
      <c r="C44" s="43"/>
      <c r="D44" s="40"/>
      <c r="E44" s="41" t="s">
        <v>29</v>
      </c>
      <c r="F44" s="49"/>
      <c r="G44" s="46"/>
    </row>
    <row r="45" spans="1:7" ht="12.75" customHeight="1">
      <c r="A45" s="40"/>
      <c r="B45" s="41" t="s">
        <v>29</v>
      </c>
      <c r="C45" s="45" t="s">
        <v>53</v>
      </c>
      <c r="D45" s="41" t="s">
        <v>34</v>
      </c>
      <c r="E45" s="44">
        <v>1</v>
      </c>
      <c r="F45" s="49">
        <v>0</v>
      </c>
      <c r="G45" s="51" t="s">
        <v>54</v>
      </c>
    </row>
    <row r="46" spans="1:7" ht="12.75" customHeight="1">
      <c r="A46" s="40"/>
      <c r="B46" s="41" t="s">
        <v>29</v>
      </c>
      <c r="C46" s="52" t="s">
        <v>29</v>
      </c>
      <c r="D46" s="53" t="s">
        <v>29</v>
      </c>
      <c r="E46" s="41" t="s">
        <v>29</v>
      </c>
      <c r="F46" s="49"/>
      <c r="G46" s="46"/>
    </row>
    <row r="47" spans="1:7" ht="12.75" customHeight="1">
      <c r="A47" s="41" t="s">
        <v>55</v>
      </c>
      <c r="B47" s="41" t="s">
        <v>56</v>
      </c>
      <c r="C47" s="45" t="s">
        <v>57</v>
      </c>
      <c r="D47" s="41" t="s">
        <v>34</v>
      </c>
      <c r="E47" s="44">
        <v>1</v>
      </c>
      <c r="F47" s="49"/>
      <c r="G47" s="46"/>
    </row>
    <row r="48" spans="1:7" ht="12.75" customHeight="1">
      <c r="A48" s="40"/>
      <c r="B48" s="41" t="s">
        <v>29</v>
      </c>
      <c r="C48" s="45" t="s">
        <v>29</v>
      </c>
      <c r="D48" s="41" t="s">
        <v>29</v>
      </c>
      <c r="E48" s="41" t="s">
        <v>29</v>
      </c>
      <c r="F48" s="49"/>
      <c r="G48" s="46"/>
    </row>
    <row r="49" spans="1:7" ht="12.75" customHeight="1">
      <c r="A49" s="53" t="s">
        <v>58</v>
      </c>
      <c r="B49" s="41" t="s">
        <v>59</v>
      </c>
      <c r="C49" s="45" t="s">
        <v>60</v>
      </c>
      <c r="D49" s="41" t="s">
        <v>34</v>
      </c>
      <c r="E49" s="44">
        <v>1</v>
      </c>
      <c r="F49" s="49"/>
      <c r="G49" s="46"/>
    </row>
    <row r="50" spans="1:7" ht="12.75" customHeight="1">
      <c r="A50" s="47"/>
      <c r="B50" s="40"/>
      <c r="C50" s="43"/>
      <c r="D50" s="40"/>
      <c r="E50" s="40"/>
      <c r="F50" s="49"/>
      <c r="G50" s="46"/>
    </row>
    <row r="51" spans="1:7" ht="12.75" customHeight="1">
      <c r="A51" s="53" t="s">
        <v>61</v>
      </c>
      <c r="B51" s="40"/>
      <c r="C51" s="54" t="s">
        <v>62</v>
      </c>
      <c r="D51" s="41" t="s">
        <v>63</v>
      </c>
      <c r="E51" s="44">
        <v>1</v>
      </c>
      <c r="F51" s="49"/>
      <c r="G51" s="46"/>
    </row>
    <row r="52" spans="1:7" ht="12.75" customHeight="1">
      <c r="A52" s="47"/>
      <c r="B52" s="40"/>
      <c r="C52" s="43"/>
      <c r="D52" s="40"/>
      <c r="E52" s="40"/>
      <c r="F52" s="49"/>
      <c r="G52" s="46"/>
    </row>
    <row r="53" spans="1:7" ht="12.75" customHeight="1">
      <c r="A53" s="53" t="s">
        <v>64</v>
      </c>
      <c r="B53" s="47"/>
      <c r="C53" s="55" t="s">
        <v>65</v>
      </c>
      <c r="D53" s="41" t="s">
        <v>63</v>
      </c>
      <c r="E53" s="44">
        <v>1</v>
      </c>
      <c r="F53" s="56"/>
      <c r="G53" s="46"/>
    </row>
    <row r="54" spans="1:7" ht="12.75" customHeight="1">
      <c r="A54" s="47"/>
      <c r="B54" s="47"/>
      <c r="C54" s="48"/>
      <c r="D54" s="40"/>
      <c r="E54" s="40"/>
      <c r="F54" s="56"/>
      <c r="G54" s="57"/>
    </row>
    <row r="55" spans="1:7" ht="12.75" customHeight="1">
      <c r="A55" s="47"/>
      <c r="B55" s="40"/>
      <c r="C55" s="43"/>
      <c r="D55" s="40"/>
      <c r="E55" s="40"/>
      <c r="F55" s="49"/>
      <c r="G55" s="46"/>
    </row>
    <row r="56" spans="1:7" ht="12.75" customHeight="1">
      <c r="A56" s="47"/>
      <c r="B56" s="40"/>
      <c r="C56" s="43"/>
      <c r="D56" s="40"/>
      <c r="E56" s="40"/>
      <c r="F56" s="49"/>
      <c r="G56" s="46"/>
    </row>
    <row r="57" spans="1:7" ht="12.75" customHeight="1">
      <c r="A57" s="47"/>
      <c r="B57" s="40"/>
      <c r="C57" s="43"/>
      <c r="D57" s="40"/>
      <c r="E57" s="40"/>
      <c r="F57" s="49"/>
      <c r="G57" s="46"/>
    </row>
    <row r="58" spans="1:7" ht="12.75" customHeight="1">
      <c r="A58" s="47"/>
      <c r="B58" s="40"/>
      <c r="C58" s="43"/>
      <c r="D58" s="40"/>
      <c r="E58" s="40"/>
      <c r="F58" s="49"/>
      <c r="G58" s="46"/>
    </row>
    <row r="59" spans="1:7" ht="12.75" customHeight="1">
      <c r="A59" s="47"/>
      <c r="B59" s="40"/>
      <c r="C59" s="43"/>
      <c r="D59" s="40"/>
      <c r="E59" s="40"/>
      <c r="F59" s="49"/>
      <c r="G59" s="46"/>
    </row>
    <row r="60" spans="1:7" ht="12.75" customHeight="1">
      <c r="A60" s="47"/>
      <c r="B60" s="40"/>
      <c r="C60" s="43"/>
      <c r="D60" s="40"/>
      <c r="E60" s="40"/>
      <c r="F60" s="49"/>
      <c r="G60" s="46"/>
    </row>
    <row r="61" spans="1:7" ht="12.75" customHeight="1">
      <c r="A61" s="47"/>
      <c r="B61" s="40"/>
      <c r="C61" s="43"/>
      <c r="D61" s="40"/>
      <c r="E61" s="40"/>
      <c r="F61" s="49"/>
      <c r="G61" s="46"/>
    </row>
    <row r="62" spans="1:7" ht="12.75" customHeight="1">
      <c r="A62" s="47"/>
      <c r="B62" s="40"/>
      <c r="C62" s="43"/>
      <c r="D62" s="40"/>
      <c r="E62" s="40"/>
      <c r="F62" s="49"/>
      <c r="G62" s="46"/>
    </row>
    <row r="63" spans="1:7" ht="12.75" customHeight="1">
      <c r="A63" s="40"/>
      <c r="B63" s="48"/>
      <c r="C63" s="48"/>
      <c r="D63" s="47"/>
      <c r="E63" s="48"/>
      <c r="F63" s="52" t="s">
        <v>29</v>
      </c>
      <c r="G63" s="52" t="s">
        <v>29</v>
      </c>
    </row>
    <row r="64" spans="1:7" s="446" customFormat="1" ht="12.75" customHeight="1">
      <c r="A64" s="40"/>
      <c r="B64" s="48"/>
      <c r="C64" s="48"/>
      <c r="D64" s="47"/>
      <c r="E64" s="48"/>
      <c r="F64" s="52"/>
      <c r="G64" s="52"/>
    </row>
    <row r="65" spans="1:7" ht="12.75" customHeight="1">
      <c r="A65" s="47"/>
      <c r="B65" s="48"/>
      <c r="C65" s="48"/>
      <c r="D65" s="47"/>
      <c r="E65" s="48"/>
      <c r="F65" s="48"/>
      <c r="G65" s="48"/>
    </row>
    <row r="66" spans="1:7" ht="12.75" customHeight="1">
      <c r="A66" s="58"/>
      <c r="B66" s="58"/>
      <c r="C66" s="59"/>
      <c r="D66" s="58"/>
      <c r="E66" s="58"/>
      <c r="F66" s="59"/>
      <c r="G66" s="59"/>
    </row>
    <row r="67" spans="1:7" ht="12.75" customHeight="1">
      <c r="A67" s="455" t="s">
        <v>66</v>
      </c>
      <c r="B67" s="456"/>
      <c r="C67" s="456"/>
      <c r="D67" s="456"/>
      <c r="E67" s="456"/>
      <c r="F67" s="457"/>
      <c r="G67" s="63">
        <f>SUM(G16:G62)</f>
        <v>0</v>
      </c>
    </row>
    <row r="68" spans="1:7" ht="12.75" customHeight="1">
      <c r="A68" s="455" t="s">
        <v>67</v>
      </c>
      <c r="B68" s="456"/>
      <c r="C68" s="456"/>
      <c r="D68" s="456"/>
      <c r="E68" s="456"/>
      <c r="F68" s="457"/>
      <c r="G68" s="64">
        <f>G67</f>
        <v>0</v>
      </c>
    </row>
    <row r="69" spans="1:7" ht="12.75" customHeight="1">
      <c r="A69" s="38"/>
      <c r="B69" s="39"/>
      <c r="C69" s="39"/>
      <c r="D69" s="38"/>
      <c r="E69" s="38"/>
      <c r="F69" s="39"/>
      <c r="G69" s="39"/>
    </row>
    <row r="70" spans="1:7" ht="25.5" customHeight="1">
      <c r="A70" s="44">
        <v>1.2</v>
      </c>
      <c r="B70" s="44">
        <v>8.4</v>
      </c>
      <c r="C70" s="42" t="s">
        <v>68</v>
      </c>
      <c r="D70" s="41" t="s">
        <v>29</v>
      </c>
      <c r="E70" s="41" t="s">
        <v>29</v>
      </c>
      <c r="F70" s="43"/>
      <c r="G70" s="43"/>
    </row>
    <row r="71" spans="1:7" ht="12.75" customHeight="1">
      <c r="A71" s="40"/>
      <c r="B71" s="43"/>
      <c r="C71" s="43"/>
      <c r="D71" s="40"/>
      <c r="E71" s="40"/>
      <c r="F71" s="43"/>
      <c r="G71" s="46"/>
    </row>
    <row r="72" spans="1:7" ht="12.75" customHeight="1">
      <c r="A72" s="41" t="s">
        <v>69</v>
      </c>
      <c r="B72" s="41" t="s">
        <v>70</v>
      </c>
      <c r="C72" s="45" t="s">
        <v>71</v>
      </c>
      <c r="D72" s="41" t="s">
        <v>29</v>
      </c>
      <c r="E72" s="40"/>
      <c r="F72" s="49"/>
      <c r="G72" s="46"/>
    </row>
    <row r="73" spans="1:7" ht="12.75" customHeight="1">
      <c r="A73" s="40"/>
      <c r="B73" s="40"/>
      <c r="C73" s="45" t="s">
        <v>72</v>
      </c>
      <c r="D73" s="40"/>
      <c r="E73" s="40"/>
      <c r="F73" s="49"/>
      <c r="G73" s="46"/>
    </row>
    <row r="74" spans="1:7" ht="12.75" customHeight="1">
      <c r="A74" s="40"/>
      <c r="B74" s="43"/>
      <c r="C74" s="43"/>
      <c r="D74" s="40"/>
      <c r="E74" s="40"/>
      <c r="F74" s="49"/>
      <c r="G74" s="46"/>
    </row>
    <row r="75" spans="1:7" ht="12.75" customHeight="1">
      <c r="A75" s="41" t="s">
        <v>73</v>
      </c>
      <c r="B75" s="41" t="s">
        <v>74</v>
      </c>
      <c r="C75" s="45" t="s">
        <v>75</v>
      </c>
      <c r="D75" s="40"/>
      <c r="E75" s="40"/>
      <c r="F75" s="49"/>
      <c r="G75" s="46"/>
    </row>
    <row r="76" spans="1:7" ht="24" customHeight="1">
      <c r="A76" s="40"/>
      <c r="B76" s="43"/>
      <c r="C76" s="45" t="s">
        <v>76</v>
      </c>
      <c r="D76" s="40"/>
      <c r="E76" s="40"/>
      <c r="F76" s="49"/>
      <c r="G76" s="46"/>
    </row>
    <row r="77" spans="1:7" ht="24" customHeight="1">
      <c r="A77" s="40"/>
      <c r="B77" s="43"/>
      <c r="C77" s="43"/>
      <c r="D77" s="40"/>
      <c r="E77" s="40"/>
      <c r="F77" s="49"/>
      <c r="G77" s="46"/>
    </row>
    <row r="78" spans="1:7" ht="12.75" customHeight="1">
      <c r="A78" s="40"/>
      <c r="B78" s="43"/>
      <c r="C78" s="45" t="s">
        <v>47</v>
      </c>
      <c r="D78" s="41" t="s">
        <v>77</v>
      </c>
      <c r="E78" s="44">
        <v>12</v>
      </c>
      <c r="F78" s="49"/>
      <c r="G78" s="46"/>
    </row>
    <row r="79" spans="1:7" ht="12.75" customHeight="1">
      <c r="A79" s="40"/>
      <c r="B79" s="43"/>
      <c r="C79" s="45" t="s">
        <v>29</v>
      </c>
      <c r="D79" s="41" t="s">
        <v>29</v>
      </c>
      <c r="E79" s="40"/>
      <c r="F79" s="49"/>
      <c r="G79" s="46"/>
    </row>
    <row r="80" spans="1:7" ht="12.75" customHeight="1">
      <c r="A80" s="40"/>
      <c r="B80" s="43"/>
      <c r="C80" s="45" t="s">
        <v>48</v>
      </c>
      <c r="D80" s="41" t="s">
        <v>77</v>
      </c>
      <c r="E80" s="44">
        <v>12</v>
      </c>
      <c r="F80" s="49"/>
      <c r="G80" s="46"/>
    </row>
    <row r="81" spans="1:7" ht="12.75" customHeight="1">
      <c r="A81" s="40"/>
      <c r="B81" s="43"/>
      <c r="C81" s="45" t="s">
        <v>29</v>
      </c>
      <c r="D81" s="41" t="s">
        <v>29</v>
      </c>
      <c r="E81" s="40"/>
      <c r="F81" s="49"/>
      <c r="G81" s="46"/>
    </row>
    <row r="82" spans="1:7" ht="12.75" customHeight="1">
      <c r="A82" s="40"/>
      <c r="B82" s="43"/>
      <c r="C82" s="45" t="s">
        <v>49</v>
      </c>
      <c r="D82" s="41" t="s">
        <v>77</v>
      </c>
      <c r="E82" s="44">
        <v>12</v>
      </c>
      <c r="F82" s="49"/>
      <c r="G82" s="46"/>
    </row>
    <row r="83" spans="1:7" ht="12.75" customHeight="1">
      <c r="A83" s="40"/>
      <c r="B83" s="43"/>
      <c r="C83" s="45" t="s">
        <v>29</v>
      </c>
      <c r="D83" s="41" t="s">
        <v>29</v>
      </c>
      <c r="E83" s="40"/>
      <c r="F83" s="49"/>
      <c r="G83" s="46"/>
    </row>
    <row r="84" spans="1:7" ht="12.75" customHeight="1">
      <c r="A84" s="41" t="s">
        <v>29</v>
      </c>
      <c r="B84" s="41" t="s">
        <v>29</v>
      </c>
      <c r="C84" s="45" t="s">
        <v>50</v>
      </c>
      <c r="D84" s="41" t="s">
        <v>77</v>
      </c>
      <c r="E84" s="44">
        <v>12</v>
      </c>
      <c r="F84" s="49"/>
      <c r="G84" s="46"/>
    </row>
    <row r="85" spans="1:7" ht="12.75" customHeight="1">
      <c r="A85" s="40"/>
      <c r="B85" s="43"/>
      <c r="C85" s="45" t="s">
        <v>29</v>
      </c>
      <c r="D85" s="41" t="s">
        <v>29</v>
      </c>
      <c r="E85" s="40"/>
      <c r="F85" s="49"/>
      <c r="G85" s="46"/>
    </row>
    <row r="86" spans="1:7" ht="12.75" customHeight="1">
      <c r="A86" s="41" t="s">
        <v>78</v>
      </c>
      <c r="B86" s="41" t="s">
        <v>79</v>
      </c>
      <c r="C86" s="45" t="s">
        <v>80</v>
      </c>
      <c r="D86" s="41" t="s">
        <v>77</v>
      </c>
      <c r="E86" s="44">
        <v>12</v>
      </c>
      <c r="F86" s="49"/>
      <c r="G86" s="46"/>
    </row>
    <row r="87" spans="1:7" ht="12.75" customHeight="1">
      <c r="A87" s="41" t="s">
        <v>29</v>
      </c>
      <c r="B87" s="41" t="s">
        <v>29</v>
      </c>
      <c r="C87" s="43"/>
      <c r="D87" s="40"/>
      <c r="E87" s="40"/>
      <c r="F87" s="49"/>
      <c r="G87" s="46"/>
    </row>
    <row r="88" spans="1:7" ht="12.75" customHeight="1">
      <c r="A88" s="41" t="s">
        <v>81</v>
      </c>
      <c r="B88" s="41" t="s">
        <v>82</v>
      </c>
      <c r="C88" s="45" t="s">
        <v>83</v>
      </c>
      <c r="D88" s="40"/>
      <c r="E88" s="40"/>
      <c r="F88" s="49"/>
      <c r="G88" s="46"/>
    </row>
    <row r="89" spans="1:7" ht="12.75" customHeight="1">
      <c r="A89" s="41" t="s">
        <v>29</v>
      </c>
      <c r="B89" s="41" t="s">
        <v>29</v>
      </c>
      <c r="C89" s="52" t="s">
        <v>84</v>
      </c>
      <c r="D89" s="41" t="s">
        <v>77</v>
      </c>
      <c r="E89" s="44">
        <v>12</v>
      </c>
      <c r="F89" s="65"/>
      <c r="G89" s="46"/>
    </row>
    <row r="90" spans="1:7" s="446" customFormat="1" ht="12.75" customHeight="1">
      <c r="A90" s="41"/>
      <c r="B90" s="41"/>
      <c r="C90" s="52"/>
      <c r="D90" s="41"/>
      <c r="E90" s="44"/>
      <c r="F90" s="65"/>
      <c r="G90" s="46"/>
    </row>
    <row r="91" spans="1:7" s="446" customFormat="1" ht="12.75" customHeight="1">
      <c r="A91" s="41"/>
      <c r="B91" s="41"/>
      <c r="C91" s="52"/>
      <c r="D91" s="41"/>
      <c r="E91" s="44"/>
      <c r="F91" s="65"/>
      <c r="G91" s="46"/>
    </row>
    <row r="92" spans="1:7" s="446" customFormat="1" ht="12.75" customHeight="1">
      <c r="A92" s="41"/>
      <c r="B92" s="41"/>
      <c r="C92" s="52"/>
      <c r="D92" s="41"/>
      <c r="E92" s="44"/>
      <c r="F92" s="65"/>
      <c r="G92" s="46"/>
    </row>
    <row r="93" spans="1:7" s="446" customFormat="1" ht="12.75" customHeight="1">
      <c r="A93" s="41"/>
      <c r="B93" s="41"/>
      <c r="C93" s="52"/>
      <c r="D93" s="41"/>
      <c r="E93" s="44"/>
      <c r="F93" s="65"/>
      <c r="G93" s="46"/>
    </row>
    <row r="94" spans="1:7" s="446" customFormat="1" ht="12.75" customHeight="1">
      <c r="A94" s="41"/>
      <c r="B94" s="41"/>
      <c r="C94" s="52"/>
      <c r="D94" s="41"/>
      <c r="E94" s="44"/>
      <c r="F94" s="65"/>
      <c r="G94" s="46"/>
    </row>
    <row r="95" spans="1:7" s="446" customFormat="1" ht="12.75" customHeight="1">
      <c r="A95" s="41"/>
      <c r="B95" s="41"/>
      <c r="C95" s="52"/>
      <c r="D95" s="41"/>
      <c r="E95" s="44"/>
      <c r="F95" s="65"/>
      <c r="G95" s="46"/>
    </row>
    <row r="96" spans="1:7" s="446" customFormat="1" ht="12.75" customHeight="1">
      <c r="A96" s="41"/>
      <c r="B96" s="41"/>
      <c r="C96" s="52"/>
      <c r="D96" s="41"/>
      <c r="E96" s="44"/>
      <c r="F96" s="65"/>
      <c r="G96" s="46"/>
    </row>
    <row r="97" spans="1:7" s="446" customFormat="1" ht="12.75" customHeight="1">
      <c r="A97" s="41"/>
      <c r="B97" s="41"/>
      <c r="C97" s="52"/>
      <c r="D97" s="41"/>
      <c r="E97" s="44"/>
      <c r="F97" s="65"/>
      <c r="G97" s="46"/>
    </row>
    <row r="98" spans="1:7" s="446" customFormat="1" ht="12.75" customHeight="1">
      <c r="A98" s="41"/>
      <c r="B98" s="41"/>
      <c r="C98" s="52"/>
      <c r="D98" s="41"/>
      <c r="E98" s="44"/>
      <c r="F98" s="65"/>
      <c r="G98" s="46"/>
    </row>
    <row r="99" spans="1:7" s="446" customFormat="1" ht="12.75" customHeight="1">
      <c r="A99" s="41"/>
      <c r="B99" s="41"/>
      <c r="C99" s="52"/>
      <c r="D99" s="41"/>
      <c r="E99" s="44"/>
      <c r="F99" s="65"/>
      <c r="G99" s="46"/>
    </row>
    <row r="100" spans="1:7" s="446" customFormat="1" ht="12.75" customHeight="1">
      <c r="A100" s="41"/>
      <c r="B100" s="41"/>
      <c r="C100" s="52"/>
      <c r="D100" s="41"/>
      <c r="E100" s="44"/>
      <c r="F100" s="65"/>
      <c r="G100" s="46"/>
    </row>
    <row r="101" spans="1:7" s="446" customFormat="1" ht="12.75" customHeight="1">
      <c r="A101" s="41"/>
      <c r="B101" s="41"/>
      <c r="C101" s="52"/>
      <c r="D101" s="41"/>
      <c r="E101" s="44"/>
      <c r="F101" s="65"/>
      <c r="G101" s="46"/>
    </row>
    <row r="102" spans="1:7" s="446" customFormat="1" ht="12.75" customHeight="1">
      <c r="A102" s="41"/>
      <c r="B102" s="41"/>
      <c r="C102" s="52"/>
      <c r="D102" s="41"/>
      <c r="E102" s="44"/>
      <c r="F102" s="65"/>
      <c r="G102" s="46"/>
    </row>
    <row r="103" spans="1:7" s="446" customFormat="1" ht="12.75" customHeight="1">
      <c r="A103" s="41"/>
      <c r="B103" s="41"/>
      <c r="C103" s="52"/>
      <c r="D103" s="41"/>
      <c r="E103" s="44"/>
      <c r="F103" s="65"/>
      <c r="G103" s="46"/>
    </row>
    <row r="104" spans="1:7" s="446" customFormat="1" ht="12.75" customHeight="1">
      <c r="A104" s="41"/>
      <c r="B104" s="41"/>
      <c r="C104" s="52"/>
      <c r="D104" s="41"/>
      <c r="E104" s="44"/>
      <c r="F104" s="65"/>
      <c r="G104" s="46"/>
    </row>
    <row r="105" spans="1:7" s="446" customFormat="1" ht="12.75" customHeight="1">
      <c r="A105" s="41"/>
      <c r="B105" s="41"/>
      <c r="C105" s="52"/>
      <c r="D105" s="41"/>
      <c r="E105" s="44"/>
      <c r="F105" s="65"/>
      <c r="G105" s="46"/>
    </row>
    <row r="106" spans="1:7" s="446" customFormat="1" ht="12.75" customHeight="1">
      <c r="A106" s="41"/>
      <c r="B106" s="41"/>
      <c r="C106" s="52"/>
      <c r="D106" s="41"/>
      <c r="E106" s="44"/>
      <c r="F106" s="65"/>
      <c r="G106" s="46"/>
    </row>
    <row r="107" spans="1:7" s="446" customFormat="1" ht="12.75" customHeight="1">
      <c r="A107" s="41"/>
      <c r="B107" s="41"/>
      <c r="C107" s="52"/>
      <c r="D107" s="41"/>
      <c r="E107" s="44"/>
      <c r="F107" s="65"/>
      <c r="G107" s="46"/>
    </row>
    <row r="108" spans="1:7" s="446" customFormat="1" ht="12.75" customHeight="1">
      <c r="A108" s="41"/>
      <c r="B108" s="41"/>
      <c r="C108" s="52"/>
      <c r="D108" s="41"/>
      <c r="E108" s="44"/>
      <c r="F108" s="65"/>
      <c r="G108" s="46"/>
    </row>
    <row r="109" spans="1:7" s="446" customFormat="1" ht="12.75" customHeight="1">
      <c r="A109" s="41"/>
      <c r="B109" s="41"/>
      <c r="C109" s="52"/>
      <c r="D109" s="41"/>
      <c r="E109" s="44"/>
      <c r="F109" s="65"/>
      <c r="G109" s="46"/>
    </row>
    <row r="110" spans="1:7" s="446" customFormat="1" ht="12.75" customHeight="1">
      <c r="A110" s="41"/>
      <c r="B110" s="41"/>
      <c r="C110" s="52"/>
      <c r="D110" s="41"/>
      <c r="E110" s="44"/>
      <c r="F110" s="65"/>
      <c r="G110" s="46"/>
    </row>
    <row r="111" spans="1:7" s="446" customFormat="1" ht="12.75" customHeight="1">
      <c r="A111" s="41"/>
      <c r="B111" s="41"/>
      <c r="C111" s="52"/>
      <c r="D111" s="41"/>
      <c r="E111" s="44"/>
      <c r="F111" s="65"/>
      <c r="G111" s="46"/>
    </row>
    <row r="112" spans="1:7" s="446" customFormat="1" ht="12.75" customHeight="1">
      <c r="A112" s="41"/>
      <c r="B112" s="41"/>
      <c r="C112" s="52"/>
      <c r="D112" s="41"/>
      <c r="E112" s="44"/>
      <c r="F112" s="65"/>
      <c r="G112" s="46"/>
    </row>
    <row r="113" spans="1:7" s="446" customFormat="1" ht="12.75" customHeight="1">
      <c r="A113" s="41"/>
      <c r="B113" s="41"/>
      <c r="C113" s="52"/>
      <c r="D113" s="41"/>
      <c r="E113" s="44"/>
      <c r="F113" s="65"/>
      <c r="G113" s="46"/>
    </row>
    <row r="114" spans="1:7" s="446" customFormat="1" ht="12.75" customHeight="1">
      <c r="A114" s="41"/>
      <c r="B114" s="41"/>
      <c r="C114" s="52"/>
      <c r="D114" s="41"/>
      <c r="E114" s="44"/>
      <c r="F114" s="65"/>
      <c r="G114" s="46"/>
    </row>
    <row r="115" spans="1:7" s="446" customFormat="1" ht="12.75" customHeight="1">
      <c r="A115" s="41"/>
      <c r="B115" s="41"/>
      <c r="C115" s="52"/>
      <c r="D115" s="41"/>
      <c r="E115" s="44"/>
      <c r="F115" s="65"/>
      <c r="G115" s="46"/>
    </row>
    <row r="116" spans="1:7" s="446" customFormat="1" ht="12.75" customHeight="1">
      <c r="A116" s="41"/>
      <c r="B116" s="41"/>
      <c r="C116" s="52"/>
      <c r="D116" s="41"/>
      <c r="E116" s="44"/>
      <c r="F116" s="65"/>
      <c r="G116" s="46"/>
    </row>
    <row r="117" spans="1:7" s="446" customFormat="1" ht="12.75" customHeight="1">
      <c r="A117" s="41"/>
      <c r="B117" s="41"/>
      <c r="C117" s="52"/>
      <c r="D117" s="41"/>
      <c r="E117" s="44"/>
      <c r="F117" s="65"/>
      <c r="G117" s="46"/>
    </row>
    <row r="118" spans="1:7" s="446" customFormat="1" ht="12.75" customHeight="1">
      <c r="A118" s="41"/>
      <c r="B118" s="41"/>
      <c r="C118" s="52"/>
      <c r="D118" s="41"/>
      <c r="E118" s="44"/>
      <c r="F118" s="65"/>
      <c r="G118" s="46"/>
    </row>
    <row r="119" spans="1:7" s="446" customFormat="1" ht="12.75" customHeight="1">
      <c r="A119" s="41"/>
      <c r="B119" s="41"/>
      <c r="C119" s="52"/>
      <c r="D119" s="41"/>
      <c r="E119" s="44"/>
      <c r="F119" s="65"/>
      <c r="G119" s="46"/>
    </row>
    <row r="120" spans="1:7" s="446" customFormat="1" ht="12.75" customHeight="1">
      <c r="A120" s="41"/>
      <c r="B120" s="41"/>
      <c r="C120" s="52"/>
      <c r="D120" s="41"/>
      <c r="E120" s="44"/>
      <c r="F120" s="65"/>
      <c r="G120" s="46"/>
    </row>
    <row r="121" spans="1:7" s="446" customFormat="1" ht="12.75" customHeight="1">
      <c r="A121" s="41"/>
      <c r="B121" s="41"/>
      <c r="C121" s="52"/>
      <c r="D121" s="41"/>
      <c r="E121" s="44"/>
      <c r="F121" s="65"/>
      <c r="G121" s="46"/>
    </row>
    <row r="122" spans="1:7" s="446" customFormat="1" ht="12.75" customHeight="1">
      <c r="A122" s="41"/>
      <c r="B122" s="41"/>
      <c r="C122" s="52"/>
      <c r="D122" s="41"/>
      <c r="E122" s="44"/>
      <c r="F122" s="65"/>
      <c r="G122" s="46"/>
    </row>
    <row r="123" spans="1:7" s="446" customFormat="1" ht="12.75" customHeight="1">
      <c r="A123" s="41"/>
      <c r="B123" s="41"/>
      <c r="C123" s="52"/>
      <c r="D123" s="41"/>
      <c r="E123" s="44"/>
      <c r="F123" s="65"/>
      <c r="G123" s="46"/>
    </row>
    <row r="124" spans="1:7" s="446" customFormat="1" ht="12.75" customHeight="1">
      <c r="A124" s="41"/>
      <c r="B124" s="41"/>
      <c r="C124" s="52"/>
      <c r="D124" s="41"/>
      <c r="E124" s="44"/>
      <c r="F124" s="65"/>
      <c r="G124" s="46"/>
    </row>
    <row r="125" spans="1:7" s="446" customFormat="1" ht="12.75" customHeight="1">
      <c r="A125" s="41"/>
      <c r="B125" s="41"/>
      <c r="C125" s="52"/>
      <c r="D125" s="41"/>
      <c r="E125" s="44"/>
      <c r="F125" s="65"/>
      <c r="G125" s="46"/>
    </row>
    <row r="126" spans="1:7" s="446" customFormat="1" ht="12.75" customHeight="1">
      <c r="A126" s="41"/>
      <c r="B126" s="41"/>
      <c r="C126" s="52"/>
      <c r="D126" s="41"/>
      <c r="E126" s="44"/>
      <c r="F126" s="65"/>
      <c r="G126" s="46"/>
    </row>
    <row r="127" spans="1:7" s="446" customFormat="1" ht="12.75" customHeight="1">
      <c r="A127" s="41"/>
      <c r="B127" s="41"/>
      <c r="C127" s="52"/>
      <c r="D127" s="41"/>
      <c r="E127" s="44"/>
      <c r="F127" s="65"/>
      <c r="G127" s="46"/>
    </row>
    <row r="128" spans="1:7" ht="12.75" customHeight="1">
      <c r="A128" s="40"/>
      <c r="B128" s="43"/>
      <c r="C128" s="43"/>
      <c r="D128" s="40"/>
      <c r="E128" s="43"/>
      <c r="F128" s="43"/>
      <c r="G128" s="46"/>
    </row>
    <row r="129" spans="1:7" ht="12.75" customHeight="1">
      <c r="A129" s="40"/>
      <c r="B129" s="43"/>
      <c r="C129" s="43"/>
      <c r="D129" s="40"/>
      <c r="E129" s="43"/>
      <c r="F129" s="43"/>
      <c r="G129" s="66"/>
    </row>
    <row r="130" spans="1:7" ht="12.75" customHeight="1">
      <c r="A130" s="47"/>
      <c r="B130" s="48"/>
      <c r="C130" s="48"/>
      <c r="D130" s="47"/>
      <c r="E130" s="48"/>
      <c r="F130" s="48"/>
      <c r="G130" s="48"/>
    </row>
    <row r="131" spans="1:7" ht="12.75" customHeight="1">
      <c r="A131" s="67"/>
      <c r="B131" s="68"/>
      <c r="C131" s="68"/>
      <c r="D131" s="67"/>
      <c r="E131" s="68"/>
      <c r="F131" s="68"/>
      <c r="G131" s="68"/>
    </row>
    <row r="132" spans="1:7" ht="12.75" customHeight="1">
      <c r="A132" s="455" t="s">
        <v>66</v>
      </c>
      <c r="B132" s="456"/>
      <c r="C132" s="456"/>
      <c r="D132" s="456"/>
      <c r="E132" s="456"/>
      <c r="F132" s="457"/>
      <c r="G132" s="69">
        <f>SUM(G68:G131)</f>
        <v>0</v>
      </c>
    </row>
    <row r="133" spans="1:7" ht="12.75" customHeight="1">
      <c r="A133" s="455" t="s">
        <v>67</v>
      </c>
      <c r="B133" s="456"/>
      <c r="C133" s="456"/>
      <c r="D133" s="456"/>
      <c r="E133" s="456"/>
      <c r="F133" s="457"/>
      <c r="G133" s="69">
        <f>G132</f>
        <v>0</v>
      </c>
    </row>
    <row r="134" spans="1:7" ht="12.75" customHeight="1">
      <c r="A134" s="39"/>
      <c r="B134" s="39"/>
      <c r="C134" s="39"/>
      <c r="D134" s="39"/>
      <c r="E134" s="39"/>
      <c r="F134" s="39"/>
      <c r="G134" s="39"/>
    </row>
    <row r="135" spans="1:7" ht="12.75" customHeight="1">
      <c r="A135" s="40"/>
      <c r="B135" s="43"/>
      <c r="C135" s="43"/>
      <c r="D135" s="40"/>
      <c r="E135" s="41" t="s">
        <v>29</v>
      </c>
      <c r="F135" s="45" t="s">
        <v>29</v>
      </c>
      <c r="G135" s="45" t="s">
        <v>29</v>
      </c>
    </row>
    <row r="136" spans="1:7" ht="12.75" customHeight="1">
      <c r="A136" s="41" t="s">
        <v>85</v>
      </c>
      <c r="B136" s="41" t="s">
        <v>86</v>
      </c>
      <c r="C136" s="45" t="s">
        <v>87</v>
      </c>
      <c r="D136" s="40"/>
      <c r="E136" s="40"/>
      <c r="F136" s="70"/>
      <c r="G136" s="46"/>
    </row>
    <row r="137" spans="1:7" ht="12.75" customHeight="1">
      <c r="A137" s="40"/>
      <c r="B137" s="43"/>
      <c r="C137" s="45" t="s">
        <v>88</v>
      </c>
      <c r="D137" s="40"/>
      <c r="E137" s="41" t="s">
        <v>29</v>
      </c>
      <c r="F137" s="70"/>
      <c r="G137" s="46"/>
    </row>
    <row r="138" spans="1:7" ht="12.75" customHeight="1">
      <c r="A138" s="41" t="s">
        <v>29</v>
      </c>
      <c r="B138" s="41" t="s">
        <v>29</v>
      </c>
      <c r="C138" s="45" t="s">
        <v>89</v>
      </c>
      <c r="D138" s="41" t="s">
        <v>29</v>
      </c>
      <c r="E138" s="41" t="s">
        <v>29</v>
      </c>
      <c r="F138" s="70"/>
      <c r="G138" s="46"/>
    </row>
    <row r="139" spans="1:7" ht="12.75" customHeight="1">
      <c r="A139" s="40"/>
      <c r="B139" s="43"/>
      <c r="C139" s="45" t="s">
        <v>90</v>
      </c>
      <c r="D139" s="40"/>
      <c r="E139" s="41" t="s">
        <v>29</v>
      </c>
      <c r="F139" s="70"/>
      <c r="G139" s="46"/>
    </row>
    <row r="140" spans="1:7" ht="12.75" customHeight="1">
      <c r="A140" s="41" t="s">
        <v>29</v>
      </c>
      <c r="B140" s="41" t="s">
        <v>29</v>
      </c>
      <c r="C140" s="45" t="s">
        <v>91</v>
      </c>
      <c r="D140" s="41" t="s">
        <v>77</v>
      </c>
      <c r="E140" s="44">
        <v>12</v>
      </c>
      <c r="F140" s="70"/>
      <c r="G140" s="46"/>
    </row>
    <row r="141" spans="1:7" ht="12.75" customHeight="1">
      <c r="A141" s="43"/>
      <c r="B141" s="43"/>
      <c r="C141" s="43"/>
      <c r="D141" s="43"/>
      <c r="E141" s="43"/>
      <c r="F141" s="70"/>
      <c r="G141" s="46"/>
    </row>
    <row r="142" spans="1:7" ht="12.75" customHeight="1">
      <c r="A142" s="41" t="s">
        <v>92</v>
      </c>
      <c r="B142" s="41" t="s">
        <v>93</v>
      </c>
      <c r="C142" s="45" t="s">
        <v>87</v>
      </c>
      <c r="D142" s="40"/>
      <c r="E142" s="40"/>
      <c r="F142" s="70"/>
      <c r="G142" s="46"/>
    </row>
    <row r="143" spans="1:7" ht="12.75" customHeight="1">
      <c r="A143" s="41" t="s">
        <v>29</v>
      </c>
      <c r="B143" s="41" t="s">
        <v>29</v>
      </c>
      <c r="C143" s="45" t="s">
        <v>94</v>
      </c>
      <c r="D143" s="41" t="s">
        <v>77</v>
      </c>
      <c r="E143" s="44">
        <v>12</v>
      </c>
      <c r="F143" s="70"/>
      <c r="G143" s="46"/>
    </row>
    <row r="144" spans="1:7" ht="12.75" customHeight="1">
      <c r="A144" s="40"/>
      <c r="B144" s="43"/>
      <c r="C144" s="43"/>
      <c r="D144" s="40"/>
      <c r="E144" s="40"/>
      <c r="F144" s="70"/>
      <c r="G144" s="46"/>
    </row>
    <row r="145" spans="1:7" ht="12.75" customHeight="1">
      <c r="A145" s="40"/>
      <c r="B145" s="41" t="s">
        <v>95</v>
      </c>
      <c r="C145" s="45" t="s">
        <v>96</v>
      </c>
      <c r="D145" s="43"/>
      <c r="E145" s="43"/>
      <c r="F145" s="43"/>
      <c r="G145" s="46"/>
    </row>
    <row r="146" spans="1:7" ht="12.75" customHeight="1">
      <c r="A146" s="43"/>
      <c r="B146" s="43"/>
      <c r="C146" s="43"/>
      <c r="D146" s="43"/>
      <c r="E146" s="43"/>
      <c r="F146" s="43"/>
      <c r="G146" s="46"/>
    </row>
    <row r="147" spans="1:7" ht="12.75" customHeight="1">
      <c r="A147" s="43"/>
      <c r="B147" s="40"/>
      <c r="C147" s="45" t="s">
        <v>97</v>
      </c>
      <c r="D147" s="41" t="s">
        <v>63</v>
      </c>
      <c r="E147" s="44">
        <v>1</v>
      </c>
      <c r="F147" s="70"/>
      <c r="G147" s="46">
        <v>35000</v>
      </c>
    </row>
    <row r="148" spans="1:7" ht="12.75" customHeight="1">
      <c r="A148" s="40"/>
      <c r="B148" s="43"/>
      <c r="C148" s="45" t="s">
        <v>98</v>
      </c>
      <c r="D148" s="40"/>
      <c r="E148" s="40"/>
      <c r="F148" s="43"/>
      <c r="G148" s="46"/>
    </row>
    <row r="149" spans="1:7" ht="12.75" customHeight="1">
      <c r="A149" s="43"/>
      <c r="B149" s="43"/>
      <c r="C149" s="43"/>
      <c r="D149" s="43"/>
      <c r="E149" s="43"/>
      <c r="F149" s="43"/>
      <c r="G149" s="46"/>
    </row>
    <row r="150" spans="1:7" ht="12.75" customHeight="1">
      <c r="A150" s="40"/>
      <c r="B150" s="40"/>
      <c r="C150" s="45" t="s">
        <v>99</v>
      </c>
      <c r="D150" s="41" t="s">
        <v>100</v>
      </c>
      <c r="E150" s="71"/>
      <c r="F150" s="72">
        <v>0.1</v>
      </c>
      <c r="G150" s="46">
        <f>G147*F150</f>
        <v>3500</v>
      </c>
    </row>
    <row r="151" spans="1:7" ht="12.75" customHeight="1">
      <c r="A151" s="40"/>
      <c r="B151" s="43"/>
      <c r="C151" s="43"/>
      <c r="D151" s="43"/>
      <c r="E151" s="43"/>
      <c r="F151" s="43"/>
      <c r="G151" s="46"/>
    </row>
    <row r="152" spans="1:7" ht="12.75" customHeight="1">
      <c r="A152" s="40"/>
      <c r="B152" s="40"/>
      <c r="C152" s="45" t="s">
        <v>101</v>
      </c>
      <c r="D152" s="41" t="s">
        <v>63</v>
      </c>
      <c r="E152" s="44">
        <v>1</v>
      </c>
      <c r="F152" s="43"/>
      <c r="G152" s="46">
        <v>30000</v>
      </c>
    </row>
    <row r="153" spans="1:7" ht="12.75" customHeight="1">
      <c r="A153" s="40"/>
      <c r="B153" s="43"/>
      <c r="C153" s="45" t="s">
        <v>102</v>
      </c>
      <c r="D153" s="40"/>
      <c r="E153" s="40"/>
      <c r="F153" s="43"/>
      <c r="G153" s="66"/>
    </row>
    <row r="154" spans="1:7" ht="12.75" customHeight="1">
      <c r="A154" s="40"/>
      <c r="B154" s="43"/>
      <c r="C154" s="45" t="s">
        <v>103</v>
      </c>
      <c r="D154" s="40"/>
      <c r="E154" s="40"/>
      <c r="F154" s="43"/>
      <c r="G154" s="66"/>
    </row>
    <row r="155" spans="1:7" ht="12.75" customHeight="1">
      <c r="A155" s="43"/>
      <c r="B155" s="43"/>
      <c r="C155" s="43"/>
      <c r="D155" s="43"/>
      <c r="E155" s="43"/>
      <c r="F155" s="43"/>
      <c r="G155" s="66"/>
    </row>
    <row r="156" spans="1:7" ht="12.75" customHeight="1">
      <c r="A156" s="43"/>
      <c r="B156" s="40"/>
      <c r="C156" s="45" t="s">
        <v>104</v>
      </c>
      <c r="D156" s="41" t="s">
        <v>100</v>
      </c>
      <c r="E156" s="73"/>
      <c r="F156" s="72">
        <v>0.1</v>
      </c>
      <c r="G156" s="46">
        <f>G152*F156</f>
        <v>3000</v>
      </c>
    </row>
    <row r="157" spans="1:7" s="446" customFormat="1" ht="12.75" customHeight="1">
      <c r="A157" s="43"/>
      <c r="B157" s="40"/>
      <c r="C157" s="45"/>
      <c r="D157" s="41"/>
      <c r="E157" s="73"/>
      <c r="F157" s="72"/>
      <c r="G157" s="46"/>
    </row>
    <row r="158" spans="1:7" s="446" customFormat="1" ht="12.75" customHeight="1">
      <c r="A158" s="43"/>
      <c r="B158" s="40"/>
      <c r="C158" s="45"/>
      <c r="D158" s="41"/>
      <c r="E158" s="73"/>
      <c r="F158" s="72"/>
      <c r="G158" s="46"/>
    </row>
    <row r="159" spans="1:7" s="446" customFormat="1" ht="12.75" customHeight="1">
      <c r="A159" s="43"/>
      <c r="B159" s="40"/>
      <c r="C159" s="45"/>
      <c r="D159" s="41"/>
      <c r="E159" s="73"/>
      <c r="F159" s="72"/>
      <c r="G159" s="46"/>
    </row>
    <row r="160" spans="1:7" s="446" customFormat="1" ht="12.75" customHeight="1">
      <c r="A160" s="43"/>
      <c r="B160" s="40"/>
      <c r="C160" s="45"/>
      <c r="D160" s="41"/>
      <c r="E160" s="73"/>
      <c r="F160" s="72"/>
      <c r="G160" s="46"/>
    </row>
    <row r="161" spans="1:7" s="446" customFormat="1" ht="12.75" customHeight="1">
      <c r="A161" s="43"/>
      <c r="B161" s="40"/>
      <c r="C161" s="45"/>
      <c r="D161" s="41"/>
      <c r="E161" s="73"/>
      <c r="F161" s="72"/>
      <c r="G161" s="46"/>
    </row>
    <row r="162" spans="1:7" s="446" customFormat="1" ht="12.75" customHeight="1">
      <c r="A162" s="43"/>
      <c r="B162" s="40"/>
      <c r="C162" s="45"/>
      <c r="D162" s="41"/>
      <c r="E162" s="73"/>
      <c r="F162" s="72"/>
      <c r="G162" s="46"/>
    </row>
    <row r="163" spans="1:7" s="446" customFormat="1" ht="12.75" customHeight="1">
      <c r="A163" s="43"/>
      <c r="B163" s="40"/>
      <c r="C163" s="45"/>
      <c r="D163" s="41"/>
      <c r="E163" s="73"/>
      <c r="F163" s="72"/>
      <c r="G163" s="46"/>
    </row>
    <row r="164" spans="1:7" s="446" customFormat="1" ht="12.75" customHeight="1">
      <c r="A164" s="43"/>
      <c r="B164" s="40"/>
      <c r="C164" s="45"/>
      <c r="D164" s="41"/>
      <c r="E164" s="73"/>
      <c r="F164" s="72"/>
      <c r="G164" s="46"/>
    </row>
    <row r="165" spans="1:7" s="446" customFormat="1" ht="12.75" customHeight="1">
      <c r="A165" s="43"/>
      <c r="B165" s="40"/>
      <c r="C165" s="45"/>
      <c r="D165" s="41"/>
      <c r="E165" s="73"/>
      <c r="F165" s="72"/>
      <c r="G165" s="46"/>
    </row>
    <row r="166" spans="1:7" s="446" customFormat="1" ht="12.75" customHeight="1">
      <c r="A166" s="43"/>
      <c r="B166" s="40"/>
      <c r="C166" s="45"/>
      <c r="D166" s="41"/>
      <c r="E166" s="73"/>
      <c r="F166" s="72"/>
      <c r="G166" s="46"/>
    </row>
    <row r="167" spans="1:7" s="446" customFormat="1" ht="12.75" customHeight="1">
      <c r="A167" s="43"/>
      <c r="B167" s="40"/>
      <c r="C167" s="45"/>
      <c r="D167" s="41"/>
      <c r="E167" s="73"/>
      <c r="F167" s="72"/>
      <c r="G167" s="46"/>
    </row>
    <row r="168" spans="1:7" s="446" customFormat="1" ht="12.75" customHeight="1">
      <c r="A168" s="43"/>
      <c r="B168" s="40"/>
      <c r="C168" s="45"/>
      <c r="D168" s="41"/>
      <c r="E168" s="73"/>
      <c r="F168" s="72"/>
      <c r="G168" s="46"/>
    </row>
    <row r="169" spans="1:7" s="446" customFormat="1" ht="12.75" customHeight="1">
      <c r="A169" s="43"/>
      <c r="B169" s="40"/>
      <c r="C169" s="45"/>
      <c r="D169" s="41"/>
      <c r="E169" s="73"/>
      <c r="F169" s="72"/>
      <c r="G169" s="46"/>
    </row>
    <row r="170" spans="1:7" s="446" customFormat="1" ht="12.75" customHeight="1">
      <c r="A170" s="43"/>
      <c r="B170" s="40"/>
      <c r="C170" s="45"/>
      <c r="D170" s="41"/>
      <c r="E170" s="73"/>
      <c r="F170" s="72"/>
      <c r="G170" s="46"/>
    </row>
    <row r="171" spans="1:7" s="446" customFormat="1" ht="12.75" customHeight="1">
      <c r="A171" s="43"/>
      <c r="B171" s="40"/>
      <c r="C171" s="45"/>
      <c r="D171" s="41"/>
      <c r="E171" s="73"/>
      <c r="F171" s="72"/>
      <c r="G171" s="46"/>
    </row>
    <row r="172" spans="1:7" s="446" customFormat="1" ht="12.75" customHeight="1">
      <c r="A172" s="43"/>
      <c r="B172" s="40"/>
      <c r="C172" s="45"/>
      <c r="D172" s="41"/>
      <c r="E172" s="73"/>
      <c r="F172" s="72"/>
      <c r="G172" s="46"/>
    </row>
    <row r="173" spans="1:7" s="446" customFormat="1" ht="12.75" customHeight="1">
      <c r="A173" s="43"/>
      <c r="B173" s="40"/>
      <c r="C173" s="45"/>
      <c r="D173" s="41"/>
      <c r="E173" s="73"/>
      <c r="F173" s="72"/>
      <c r="G173" s="46"/>
    </row>
    <row r="174" spans="1:7" s="446" customFormat="1" ht="12.75" customHeight="1">
      <c r="A174" s="43"/>
      <c r="B174" s="40"/>
      <c r="C174" s="45"/>
      <c r="D174" s="41"/>
      <c r="E174" s="73"/>
      <c r="F174" s="72"/>
      <c r="G174" s="46"/>
    </row>
    <row r="175" spans="1:7" s="446" customFormat="1" ht="12.75" customHeight="1">
      <c r="A175" s="43"/>
      <c r="B175" s="40"/>
      <c r="C175" s="45"/>
      <c r="D175" s="41"/>
      <c r="E175" s="73"/>
      <c r="F175" s="72"/>
      <c r="G175" s="46"/>
    </row>
    <row r="176" spans="1:7" s="446" customFormat="1" ht="12.75" customHeight="1">
      <c r="A176" s="43"/>
      <c r="B176" s="40"/>
      <c r="C176" s="45"/>
      <c r="D176" s="41"/>
      <c r="E176" s="73"/>
      <c r="F176" s="72"/>
      <c r="G176" s="46"/>
    </row>
    <row r="177" spans="1:7" s="446" customFormat="1" ht="12.75" customHeight="1">
      <c r="A177" s="43"/>
      <c r="B177" s="40"/>
      <c r="C177" s="45"/>
      <c r="D177" s="41"/>
      <c r="E177" s="73"/>
      <c r="F177" s="72"/>
      <c r="G177" s="46"/>
    </row>
    <row r="178" spans="1:7" s="446" customFormat="1" ht="12.75" customHeight="1">
      <c r="A178" s="43"/>
      <c r="B178" s="40"/>
      <c r="C178" s="45"/>
      <c r="D178" s="41"/>
      <c r="E178" s="73"/>
      <c r="F178" s="72"/>
      <c r="G178" s="46"/>
    </row>
    <row r="179" spans="1:7" s="446" customFormat="1" ht="12.75" customHeight="1">
      <c r="A179" s="43"/>
      <c r="B179" s="40"/>
      <c r="C179" s="45"/>
      <c r="D179" s="41"/>
      <c r="E179" s="73"/>
      <c r="F179" s="72"/>
      <c r="G179" s="46"/>
    </row>
    <row r="180" spans="1:7" s="446" customFormat="1" ht="12.75" customHeight="1">
      <c r="A180" s="43"/>
      <c r="B180" s="40"/>
      <c r="C180" s="45"/>
      <c r="D180" s="41"/>
      <c r="E180" s="73"/>
      <c r="F180" s="72"/>
      <c r="G180" s="46"/>
    </row>
    <row r="181" spans="1:7" s="446" customFormat="1" ht="12.75" customHeight="1">
      <c r="A181" s="43"/>
      <c r="B181" s="40"/>
      <c r="C181" s="45"/>
      <c r="D181" s="41"/>
      <c r="E181" s="73"/>
      <c r="F181" s="72"/>
      <c r="G181" s="46"/>
    </row>
    <row r="182" spans="1:7" s="446" customFormat="1" ht="12.75" customHeight="1">
      <c r="A182" s="43"/>
      <c r="B182" s="40"/>
      <c r="C182" s="45"/>
      <c r="D182" s="41"/>
      <c r="E182" s="73"/>
      <c r="F182" s="72"/>
      <c r="G182" s="46"/>
    </row>
    <row r="183" spans="1:7" s="446" customFormat="1" ht="12.75" customHeight="1">
      <c r="A183" s="43"/>
      <c r="B183" s="40"/>
      <c r="C183" s="45"/>
      <c r="D183" s="41"/>
      <c r="E183" s="73"/>
      <c r="F183" s="72"/>
      <c r="G183" s="46"/>
    </row>
    <row r="184" spans="1:7" s="446" customFormat="1" ht="12.75" customHeight="1">
      <c r="A184" s="43"/>
      <c r="B184" s="40"/>
      <c r="C184" s="45"/>
      <c r="D184" s="41"/>
      <c r="E184" s="73"/>
      <c r="F184" s="72"/>
      <c r="G184" s="46"/>
    </row>
    <row r="185" spans="1:7" s="446" customFormat="1" ht="12.75" customHeight="1">
      <c r="A185" s="43"/>
      <c r="B185" s="40"/>
      <c r="C185" s="45"/>
      <c r="D185" s="41"/>
      <c r="E185" s="73"/>
      <c r="F185" s="72"/>
      <c r="G185" s="46"/>
    </row>
    <row r="186" spans="1:7" s="446" customFormat="1" ht="12.75" customHeight="1">
      <c r="A186" s="43"/>
      <c r="B186" s="40"/>
      <c r="C186" s="45"/>
      <c r="D186" s="41"/>
      <c r="E186" s="73"/>
      <c r="F186" s="72"/>
      <c r="G186" s="46"/>
    </row>
    <row r="187" spans="1:7" s="446" customFormat="1" ht="12.75" customHeight="1">
      <c r="A187" s="43"/>
      <c r="B187" s="40"/>
      <c r="C187" s="45"/>
      <c r="D187" s="41"/>
      <c r="E187" s="73"/>
      <c r="F187" s="72"/>
      <c r="G187" s="46"/>
    </row>
    <row r="188" spans="1:7" s="446" customFormat="1" ht="12.75" customHeight="1">
      <c r="A188" s="43"/>
      <c r="B188" s="40"/>
      <c r="C188" s="45"/>
      <c r="D188" s="41"/>
      <c r="E188" s="73"/>
      <c r="F188" s="72"/>
      <c r="G188" s="46"/>
    </row>
    <row r="189" spans="1:7" s="446" customFormat="1" ht="12.75" customHeight="1">
      <c r="A189" s="43"/>
      <c r="B189" s="40"/>
      <c r="C189" s="45"/>
      <c r="D189" s="41"/>
      <c r="E189" s="73"/>
      <c r="F189" s="72"/>
      <c r="G189" s="46"/>
    </row>
    <row r="190" spans="1:7" s="446" customFormat="1" ht="12.75" customHeight="1">
      <c r="A190" s="43"/>
      <c r="B190" s="40"/>
      <c r="C190" s="45"/>
      <c r="D190" s="41"/>
      <c r="E190" s="73"/>
      <c r="F190" s="72"/>
      <c r="G190" s="46"/>
    </row>
    <row r="191" spans="1:7" s="446" customFormat="1" ht="12.75" customHeight="1">
      <c r="A191" s="43"/>
      <c r="B191" s="40"/>
      <c r="C191" s="45"/>
      <c r="D191" s="41"/>
      <c r="E191" s="73"/>
      <c r="F191" s="72"/>
      <c r="G191" s="46"/>
    </row>
    <row r="192" spans="1:7" s="446" customFormat="1" ht="12.75" customHeight="1">
      <c r="A192" s="43"/>
      <c r="B192" s="40"/>
      <c r="C192" s="45"/>
      <c r="D192" s="41"/>
      <c r="E192" s="73"/>
      <c r="F192" s="72"/>
      <c r="G192" s="46"/>
    </row>
    <row r="193" spans="1:7" ht="12.75" customHeight="1">
      <c r="A193" s="43"/>
      <c r="B193" s="43"/>
      <c r="C193" s="43"/>
      <c r="D193" s="43"/>
      <c r="E193" s="43"/>
      <c r="F193" s="70"/>
      <c r="G193" s="66"/>
    </row>
    <row r="194" spans="1:7" ht="12.75" customHeight="1">
      <c r="A194" s="43"/>
      <c r="B194" s="43"/>
      <c r="C194" s="43"/>
      <c r="D194" s="43"/>
      <c r="E194" s="43"/>
      <c r="F194" s="43"/>
      <c r="G194" s="66"/>
    </row>
    <row r="195" spans="1:7" ht="12.75" customHeight="1">
      <c r="A195" s="43"/>
      <c r="B195" s="43"/>
      <c r="C195" s="43"/>
      <c r="D195" s="43"/>
      <c r="E195" s="43"/>
      <c r="F195" s="43"/>
      <c r="G195" s="43"/>
    </row>
    <row r="196" spans="1:7" ht="12.75" customHeight="1">
      <c r="A196" s="43"/>
      <c r="B196" s="43"/>
      <c r="C196" s="43"/>
      <c r="D196" s="43"/>
      <c r="E196" s="43"/>
      <c r="F196" s="43"/>
      <c r="G196" s="43"/>
    </row>
    <row r="197" spans="1:7" ht="12.75" customHeight="1">
      <c r="A197" s="43"/>
      <c r="B197" s="43"/>
      <c r="C197" s="43"/>
      <c r="D197" s="43"/>
      <c r="E197" s="43"/>
      <c r="F197" s="43"/>
      <c r="G197" s="43"/>
    </row>
    <row r="198" spans="1:7" ht="12.75" customHeight="1">
      <c r="A198" s="43"/>
      <c r="B198" s="43"/>
      <c r="C198" s="43"/>
      <c r="D198" s="43"/>
      <c r="E198" s="43"/>
      <c r="F198" s="43"/>
      <c r="G198" s="43"/>
    </row>
    <row r="199" spans="1:7" ht="12.75" customHeight="1">
      <c r="A199" s="58"/>
      <c r="B199" s="59"/>
      <c r="C199" s="59"/>
      <c r="D199" s="58"/>
      <c r="E199" s="58"/>
      <c r="F199" s="59"/>
      <c r="G199" s="59"/>
    </row>
    <row r="200" spans="1:7" ht="12.75" customHeight="1">
      <c r="A200" s="455" t="s">
        <v>66</v>
      </c>
      <c r="B200" s="456"/>
      <c r="C200" s="456"/>
      <c r="D200" s="456"/>
      <c r="E200" s="456"/>
      <c r="F200" s="457"/>
      <c r="G200" s="69"/>
    </row>
    <row r="201" spans="1:7" ht="12.75" customHeight="1">
      <c r="A201" s="455" t="s">
        <v>67</v>
      </c>
      <c r="B201" s="456"/>
      <c r="C201" s="456"/>
      <c r="D201" s="456"/>
      <c r="E201" s="456"/>
      <c r="F201" s="457"/>
      <c r="G201" s="69"/>
    </row>
    <row r="202" spans="1:7" ht="12.75" customHeight="1">
      <c r="A202" s="74"/>
      <c r="B202" s="75"/>
      <c r="C202" s="75"/>
      <c r="D202" s="74"/>
      <c r="E202" s="74"/>
      <c r="F202" s="75"/>
      <c r="G202" s="75"/>
    </row>
    <row r="203" spans="1:7" ht="12.75" customHeight="1">
      <c r="A203" s="43"/>
      <c r="B203" s="43"/>
      <c r="C203" s="43"/>
      <c r="D203" s="43"/>
      <c r="E203" s="43"/>
      <c r="F203" s="43"/>
      <c r="G203" s="43"/>
    </row>
    <row r="204" spans="1:7" ht="12.75" customHeight="1">
      <c r="A204" s="43"/>
      <c r="B204" s="43"/>
      <c r="C204" s="43"/>
      <c r="D204" s="43"/>
      <c r="E204" s="43"/>
      <c r="F204" s="43"/>
      <c r="G204" s="43"/>
    </row>
    <row r="205" spans="1:7" ht="12.75" customHeight="1">
      <c r="A205" s="76"/>
      <c r="B205" s="76"/>
      <c r="C205" s="45" t="s">
        <v>105</v>
      </c>
      <c r="D205" s="41" t="s">
        <v>29</v>
      </c>
      <c r="E205" s="41" t="s">
        <v>29</v>
      </c>
      <c r="F205" s="45" t="s">
        <v>29</v>
      </c>
      <c r="G205" s="45" t="s">
        <v>29</v>
      </c>
    </row>
    <row r="206" spans="1:7" ht="12.75" customHeight="1">
      <c r="A206" s="76"/>
      <c r="B206" s="76"/>
      <c r="C206" s="45" t="s">
        <v>29</v>
      </c>
      <c r="D206" s="40"/>
      <c r="E206" s="41" t="s">
        <v>29</v>
      </c>
      <c r="F206" s="49"/>
      <c r="G206" s="49"/>
    </row>
    <row r="207" spans="1:7" ht="12.75" customHeight="1">
      <c r="A207" s="76"/>
      <c r="B207" s="49"/>
      <c r="C207" s="45" t="s">
        <v>106</v>
      </c>
      <c r="D207" s="40"/>
      <c r="E207" s="43"/>
      <c r="F207" s="43"/>
      <c r="G207" s="43"/>
    </row>
    <row r="208" spans="1:7" ht="12.75" customHeight="1">
      <c r="A208" s="76"/>
      <c r="B208" s="49"/>
      <c r="C208" s="45" t="s">
        <v>107</v>
      </c>
      <c r="D208" s="41" t="s">
        <v>63</v>
      </c>
      <c r="E208" s="73">
        <v>1</v>
      </c>
      <c r="F208" s="70"/>
      <c r="G208" s="46">
        <v>35000</v>
      </c>
    </row>
    <row r="209" spans="1:7" ht="12.75" customHeight="1">
      <c r="A209" s="43"/>
      <c r="B209" s="43"/>
      <c r="C209" s="43"/>
      <c r="D209" s="43"/>
      <c r="E209" s="43"/>
      <c r="F209" s="70"/>
      <c r="G209" s="66"/>
    </row>
    <row r="210" spans="1:7" ht="12.75" customHeight="1">
      <c r="A210" s="43"/>
      <c r="B210" s="43"/>
      <c r="C210" s="45" t="s">
        <v>99</v>
      </c>
      <c r="D210" s="41" t="s">
        <v>100</v>
      </c>
      <c r="E210" s="73"/>
      <c r="F210" s="72">
        <v>0.1</v>
      </c>
      <c r="G210" s="46">
        <f>G208*F210</f>
        <v>3500</v>
      </c>
    </row>
    <row r="211" spans="1:7" ht="12.75" customHeight="1">
      <c r="A211" s="43"/>
      <c r="B211" s="43"/>
      <c r="C211" s="43"/>
      <c r="D211" s="43"/>
      <c r="E211" s="43"/>
      <c r="F211" s="43"/>
      <c r="G211" s="66"/>
    </row>
    <row r="212" spans="1:7" ht="12.75" customHeight="1">
      <c r="A212" s="76"/>
      <c r="B212" s="41" t="s">
        <v>29</v>
      </c>
      <c r="C212" s="45" t="s">
        <v>108</v>
      </c>
      <c r="D212" s="76"/>
      <c r="E212" s="76"/>
      <c r="F212" s="49"/>
      <c r="G212" s="66"/>
    </row>
    <row r="213" spans="1:7" ht="12.75" customHeight="1">
      <c r="A213" s="76"/>
      <c r="B213" s="49"/>
      <c r="C213" s="49"/>
      <c r="D213" s="40"/>
      <c r="E213" s="76"/>
      <c r="F213" s="49"/>
      <c r="G213" s="66"/>
    </row>
    <row r="214" spans="1:7" ht="12.75" customHeight="1">
      <c r="A214" s="76"/>
      <c r="B214" s="49"/>
      <c r="C214" s="45" t="s">
        <v>109</v>
      </c>
      <c r="D214" s="40"/>
      <c r="E214" s="76"/>
      <c r="F214" s="49"/>
      <c r="G214" s="66"/>
    </row>
    <row r="215" spans="1:7" ht="12.75" customHeight="1">
      <c r="A215" s="76"/>
      <c r="B215" s="41" t="s">
        <v>29</v>
      </c>
      <c r="C215" s="45" t="s">
        <v>110</v>
      </c>
      <c r="D215" s="41" t="s">
        <v>77</v>
      </c>
      <c r="E215" s="73">
        <v>12</v>
      </c>
      <c r="F215" s="49">
        <v>5000</v>
      </c>
      <c r="G215" s="46">
        <f>E215*F215</f>
        <v>60000</v>
      </c>
    </row>
    <row r="216" spans="1:7" ht="12.75" customHeight="1">
      <c r="A216" s="76"/>
      <c r="B216" s="49"/>
      <c r="C216" s="49"/>
      <c r="D216" s="76"/>
      <c r="E216" s="76"/>
      <c r="F216" s="49"/>
      <c r="G216" s="66"/>
    </row>
    <row r="217" spans="1:7" ht="12.75" customHeight="1">
      <c r="A217" s="76"/>
      <c r="B217" s="49"/>
      <c r="C217" s="45" t="s">
        <v>99</v>
      </c>
      <c r="D217" s="41" t="s">
        <v>100</v>
      </c>
      <c r="E217" s="71"/>
      <c r="F217" s="72">
        <v>0.1</v>
      </c>
      <c r="G217" s="46">
        <f>G215*F217</f>
        <v>6000</v>
      </c>
    </row>
    <row r="218" spans="1:7" s="446" customFormat="1" ht="12.75" customHeight="1">
      <c r="A218" s="76"/>
      <c r="B218" s="49"/>
      <c r="C218" s="45"/>
      <c r="D218" s="41"/>
      <c r="E218" s="71"/>
      <c r="F218" s="72"/>
      <c r="G218" s="46"/>
    </row>
    <row r="219" spans="1:7" s="446" customFormat="1" ht="12.75" customHeight="1">
      <c r="A219" s="76"/>
      <c r="B219" s="49"/>
      <c r="C219" s="45"/>
      <c r="D219" s="41"/>
      <c r="E219" s="71"/>
      <c r="F219" s="72"/>
      <c r="G219" s="46"/>
    </row>
    <row r="220" spans="1:7" s="446" customFormat="1" ht="12.75" customHeight="1">
      <c r="A220" s="76"/>
      <c r="B220" s="49"/>
      <c r="C220" s="45"/>
      <c r="D220" s="41"/>
      <c r="E220" s="71"/>
      <c r="F220" s="72"/>
      <c r="G220" s="46"/>
    </row>
    <row r="221" spans="1:7" s="446" customFormat="1" ht="12.75" customHeight="1">
      <c r="A221" s="76"/>
      <c r="B221" s="49"/>
      <c r="C221" s="45"/>
      <c r="D221" s="41"/>
      <c r="E221" s="71"/>
      <c r="F221" s="72"/>
      <c r="G221" s="46"/>
    </row>
    <row r="222" spans="1:7" s="446" customFormat="1" ht="12.75" customHeight="1">
      <c r="A222" s="76"/>
      <c r="B222" s="49"/>
      <c r="C222" s="45"/>
      <c r="D222" s="41"/>
      <c r="E222" s="71"/>
      <c r="F222" s="72"/>
      <c r="G222" s="46"/>
    </row>
    <row r="223" spans="1:7" s="446" customFormat="1" ht="12.75" customHeight="1">
      <c r="A223" s="76"/>
      <c r="B223" s="49"/>
      <c r="C223" s="45"/>
      <c r="D223" s="41"/>
      <c r="E223" s="71"/>
      <c r="F223" s="72"/>
      <c r="G223" s="46"/>
    </row>
    <row r="224" spans="1:7" s="446" customFormat="1" ht="12.75" customHeight="1">
      <c r="A224" s="76"/>
      <c r="B224" s="49"/>
      <c r="C224" s="45"/>
      <c r="D224" s="41"/>
      <c r="E224" s="71"/>
      <c r="F224" s="72"/>
      <c r="G224" s="46"/>
    </row>
    <row r="225" spans="1:7" s="446" customFormat="1" ht="12.75" customHeight="1">
      <c r="A225" s="76"/>
      <c r="B225" s="49"/>
      <c r="C225" s="45"/>
      <c r="D225" s="41"/>
      <c r="E225" s="71"/>
      <c r="F225" s="72"/>
      <c r="G225" s="46"/>
    </row>
    <row r="226" spans="1:7" s="446" customFormat="1" ht="12.75" customHeight="1">
      <c r="A226" s="76"/>
      <c r="B226" s="49"/>
      <c r="C226" s="45"/>
      <c r="D226" s="41"/>
      <c r="E226" s="71"/>
      <c r="F226" s="72"/>
      <c r="G226" s="46"/>
    </row>
    <row r="227" spans="1:7" s="446" customFormat="1" ht="12.75" customHeight="1">
      <c r="A227" s="76"/>
      <c r="B227" s="49"/>
      <c r="C227" s="45"/>
      <c r="D227" s="41"/>
      <c r="E227" s="71"/>
      <c r="F227" s="72"/>
      <c r="G227" s="46"/>
    </row>
    <row r="228" spans="1:7" s="446" customFormat="1" ht="12.75" customHeight="1">
      <c r="A228" s="76"/>
      <c r="B228" s="49"/>
      <c r="C228" s="45"/>
      <c r="D228" s="41"/>
      <c r="E228" s="71"/>
      <c r="F228" s="72"/>
      <c r="G228" s="46"/>
    </row>
    <row r="229" spans="1:7" s="446" customFormat="1" ht="12.75" customHeight="1">
      <c r="A229" s="76"/>
      <c r="B229" s="49"/>
      <c r="C229" s="45"/>
      <c r="D229" s="41"/>
      <c r="E229" s="71"/>
      <c r="F229" s="72"/>
      <c r="G229" s="46"/>
    </row>
    <row r="230" spans="1:7" s="446" customFormat="1" ht="12.75" customHeight="1">
      <c r="A230" s="76"/>
      <c r="B230" s="49"/>
      <c r="C230" s="45"/>
      <c r="D230" s="41"/>
      <c r="E230" s="71"/>
      <c r="F230" s="72"/>
      <c r="G230" s="46"/>
    </row>
    <row r="231" spans="1:7" s="446" customFormat="1" ht="12.75" customHeight="1">
      <c r="A231" s="76"/>
      <c r="B231" s="49"/>
      <c r="C231" s="45"/>
      <c r="D231" s="41"/>
      <c r="E231" s="71"/>
      <c r="F231" s="72"/>
      <c r="G231" s="46"/>
    </row>
    <row r="232" spans="1:7" s="446" customFormat="1" ht="12.75" customHeight="1">
      <c r="A232" s="76"/>
      <c r="B232" s="49"/>
      <c r="C232" s="45"/>
      <c r="D232" s="41"/>
      <c r="E232" s="71"/>
      <c r="F232" s="72"/>
      <c r="G232" s="46"/>
    </row>
    <row r="233" spans="1:7" s="446" customFormat="1" ht="12.75" customHeight="1">
      <c r="A233" s="76"/>
      <c r="B233" s="49"/>
      <c r="C233" s="45"/>
      <c r="D233" s="41"/>
      <c r="E233" s="71"/>
      <c r="F233" s="72"/>
      <c r="G233" s="46"/>
    </row>
    <row r="234" spans="1:7" s="446" customFormat="1" ht="12.75" customHeight="1">
      <c r="A234" s="76"/>
      <c r="B234" s="49"/>
      <c r="C234" s="45"/>
      <c r="D234" s="41"/>
      <c r="E234" s="71"/>
      <c r="F234" s="72"/>
      <c r="G234" s="46"/>
    </row>
    <row r="235" spans="1:7" s="446" customFormat="1" ht="12.75" customHeight="1">
      <c r="A235" s="76"/>
      <c r="B235" s="49"/>
      <c r="C235" s="45"/>
      <c r="D235" s="41"/>
      <c r="E235" s="71"/>
      <c r="F235" s="72"/>
      <c r="G235" s="46"/>
    </row>
    <row r="236" spans="1:7" s="446" customFormat="1" ht="12.75" customHeight="1">
      <c r="A236" s="76"/>
      <c r="B236" s="49"/>
      <c r="C236" s="45"/>
      <c r="D236" s="41"/>
      <c r="E236" s="71"/>
      <c r="F236" s="72"/>
      <c r="G236" s="46"/>
    </row>
    <row r="237" spans="1:7" s="446" customFormat="1" ht="12.75" customHeight="1">
      <c r="A237" s="76"/>
      <c r="B237" s="49"/>
      <c r="C237" s="45"/>
      <c r="D237" s="41"/>
      <c r="E237" s="71"/>
      <c r="F237" s="72"/>
      <c r="G237" s="46"/>
    </row>
    <row r="238" spans="1:7" s="446" customFormat="1" ht="12.75" customHeight="1">
      <c r="A238" s="76"/>
      <c r="B238" s="49"/>
      <c r="C238" s="45"/>
      <c r="D238" s="41"/>
      <c r="E238" s="71"/>
      <c r="F238" s="72"/>
      <c r="G238" s="46"/>
    </row>
    <row r="239" spans="1:7" s="446" customFormat="1" ht="12.75" customHeight="1">
      <c r="A239" s="76"/>
      <c r="B239" s="49"/>
      <c r="C239" s="45"/>
      <c r="D239" s="41"/>
      <c r="E239" s="71"/>
      <c r="F239" s="72"/>
      <c r="G239" s="46"/>
    </row>
    <row r="240" spans="1:7" s="446" customFormat="1" ht="12.75" customHeight="1">
      <c r="A240" s="76"/>
      <c r="B240" s="49"/>
      <c r="C240" s="45"/>
      <c r="D240" s="41"/>
      <c r="E240" s="71"/>
      <c r="F240" s="72"/>
      <c r="G240" s="46"/>
    </row>
    <row r="241" spans="1:7" s="446" customFormat="1" ht="12.75" customHeight="1">
      <c r="A241" s="76"/>
      <c r="B241" s="49"/>
      <c r="C241" s="45"/>
      <c r="D241" s="41"/>
      <c r="E241" s="71"/>
      <c r="F241" s="72"/>
      <c r="G241" s="46"/>
    </row>
    <row r="242" spans="1:7" s="446" customFormat="1" ht="12.75" customHeight="1">
      <c r="A242" s="76"/>
      <c r="B242" s="49"/>
      <c r="C242" s="45"/>
      <c r="D242" s="41"/>
      <c r="E242" s="71"/>
      <c r="F242" s="72"/>
      <c r="G242" s="46"/>
    </row>
    <row r="243" spans="1:7" s="446" customFormat="1" ht="12.75" customHeight="1">
      <c r="A243" s="76"/>
      <c r="B243" s="49"/>
      <c r="C243" s="45"/>
      <c r="D243" s="41"/>
      <c r="E243" s="71"/>
      <c r="F243" s="72"/>
      <c r="G243" s="46"/>
    </row>
    <row r="244" spans="1:7" s="446" customFormat="1" ht="12.75" customHeight="1">
      <c r="A244" s="76"/>
      <c r="B244" s="49"/>
      <c r="C244" s="45"/>
      <c r="D244" s="41"/>
      <c r="E244" s="71"/>
      <c r="F244" s="72"/>
      <c r="G244" s="46"/>
    </row>
    <row r="245" spans="1:7" s="446" customFormat="1" ht="12.75" customHeight="1">
      <c r="A245" s="76"/>
      <c r="B245" s="49"/>
      <c r="C245" s="45"/>
      <c r="D245" s="41"/>
      <c r="E245" s="71"/>
      <c r="F245" s="72"/>
      <c r="G245" s="46"/>
    </row>
    <row r="246" spans="1:7" s="446" customFormat="1" ht="12.75" customHeight="1">
      <c r="A246" s="76"/>
      <c r="B246" s="49"/>
      <c r="C246" s="45"/>
      <c r="D246" s="41"/>
      <c r="E246" s="71"/>
      <c r="F246" s="72"/>
      <c r="G246" s="46"/>
    </row>
    <row r="247" spans="1:7" s="446" customFormat="1" ht="12.75" customHeight="1">
      <c r="A247" s="76"/>
      <c r="B247" s="49"/>
      <c r="C247" s="45"/>
      <c r="D247" s="41"/>
      <c r="E247" s="71"/>
      <c r="F247" s="72"/>
      <c r="G247" s="46"/>
    </row>
    <row r="248" spans="1:7" s="446" customFormat="1" ht="12.75" customHeight="1">
      <c r="A248" s="76"/>
      <c r="B248" s="49"/>
      <c r="C248" s="45"/>
      <c r="D248" s="41"/>
      <c r="E248" s="71"/>
      <c r="F248" s="72"/>
      <c r="G248" s="46"/>
    </row>
    <row r="249" spans="1:7" s="446" customFormat="1" ht="12.75" customHeight="1">
      <c r="A249" s="76"/>
      <c r="B249" s="49"/>
      <c r="C249" s="45"/>
      <c r="D249" s="41"/>
      <c r="E249" s="71"/>
      <c r="F249" s="72"/>
      <c r="G249" s="46"/>
    </row>
    <row r="250" spans="1:7" s="446" customFormat="1" ht="12.75" customHeight="1">
      <c r="A250" s="76"/>
      <c r="B250" s="49"/>
      <c r="C250" s="45"/>
      <c r="D250" s="41"/>
      <c r="E250" s="71"/>
      <c r="F250" s="72"/>
      <c r="G250" s="46"/>
    </row>
    <row r="251" spans="1:7" s="446" customFormat="1" ht="12.75" customHeight="1">
      <c r="A251" s="76"/>
      <c r="B251" s="49"/>
      <c r="C251" s="45"/>
      <c r="D251" s="41"/>
      <c r="E251" s="71"/>
      <c r="F251" s="72"/>
      <c r="G251" s="46"/>
    </row>
    <row r="252" spans="1:7" s="446" customFormat="1" ht="12.75" customHeight="1">
      <c r="A252" s="76"/>
      <c r="B252" s="49"/>
      <c r="C252" s="45"/>
      <c r="D252" s="41"/>
      <c r="E252" s="71"/>
      <c r="F252" s="72"/>
      <c r="G252" s="46"/>
    </row>
    <row r="253" spans="1:7" s="446" customFormat="1" ht="12.75" customHeight="1">
      <c r="A253" s="76"/>
      <c r="B253" s="49"/>
      <c r="C253" s="45"/>
      <c r="D253" s="41"/>
      <c r="E253" s="71"/>
      <c r="F253" s="72"/>
      <c r="G253" s="46"/>
    </row>
    <row r="254" spans="1:7" s="446" customFormat="1" ht="12.75" customHeight="1">
      <c r="A254" s="76"/>
      <c r="B254" s="49"/>
      <c r="C254" s="45"/>
      <c r="D254" s="41"/>
      <c r="E254" s="71"/>
      <c r="F254" s="72"/>
      <c r="G254" s="46"/>
    </row>
    <row r="255" spans="1:7" s="446" customFormat="1" ht="12.75" customHeight="1">
      <c r="A255" s="76"/>
      <c r="B255" s="49"/>
      <c r="C255" s="45"/>
      <c r="D255" s="41"/>
      <c r="E255" s="71"/>
      <c r="F255" s="72"/>
      <c r="G255" s="46"/>
    </row>
    <row r="256" spans="1:7" s="446" customFormat="1" ht="12.75" customHeight="1">
      <c r="A256" s="76"/>
      <c r="B256" s="49"/>
      <c r="C256" s="45"/>
      <c r="D256" s="41"/>
      <c r="E256" s="71"/>
      <c r="F256" s="72"/>
      <c r="G256" s="46"/>
    </row>
    <row r="257" spans="1:7" s="446" customFormat="1" ht="12.75" customHeight="1">
      <c r="A257" s="76"/>
      <c r="B257" s="49"/>
      <c r="C257" s="45"/>
      <c r="D257" s="41"/>
      <c r="E257" s="71"/>
      <c r="F257" s="72"/>
      <c r="G257" s="46"/>
    </row>
    <row r="258" spans="1:7" s="446" customFormat="1" ht="12.75" customHeight="1">
      <c r="A258" s="76"/>
      <c r="B258" s="49"/>
      <c r="C258" s="45"/>
      <c r="D258" s="41"/>
      <c r="E258" s="71"/>
      <c r="F258" s="72"/>
      <c r="G258" s="46"/>
    </row>
    <row r="259" spans="1:7" s="446" customFormat="1" ht="12.75" customHeight="1">
      <c r="A259" s="76"/>
      <c r="B259" s="49"/>
      <c r="C259" s="45"/>
      <c r="D259" s="41"/>
      <c r="E259" s="71"/>
      <c r="F259" s="72"/>
      <c r="G259" s="46"/>
    </row>
    <row r="260" spans="1:7" s="446" customFormat="1" ht="12.75" customHeight="1">
      <c r="A260" s="76"/>
      <c r="B260" s="49"/>
      <c r="C260" s="45"/>
      <c r="D260" s="41"/>
      <c r="E260" s="71"/>
      <c r="F260" s="72"/>
      <c r="G260" s="46"/>
    </row>
    <row r="261" spans="1:7" s="446" customFormat="1" ht="12.75" customHeight="1">
      <c r="A261" s="76"/>
      <c r="B261" s="49"/>
      <c r="C261" s="45"/>
      <c r="D261" s="41"/>
      <c r="E261" s="71"/>
      <c r="F261" s="72"/>
      <c r="G261" s="46"/>
    </row>
    <row r="262" spans="1:7" s="446" customFormat="1" ht="12.75" customHeight="1">
      <c r="A262" s="76"/>
      <c r="B262" s="49"/>
      <c r="C262" s="45"/>
      <c r="D262" s="41"/>
      <c r="E262" s="71"/>
      <c r="F262" s="72"/>
      <c r="G262" s="46"/>
    </row>
    <row r="263" spans="1:7" ht="12.75" customHeight="1">
      <c r="A263" s="76"/>
      <c r="B263" s="49"/>
      <c r="C263" s="49"/>
      <c r="D263" s="76"/>
      <c r="E263" s="71"/>
      <c r="F263" s="77"/>
      <c r="G263" s="66"/>
    </row>
    <row r="264" spans="1:7" ht="12.75" customHeight="1">
      <c r="A264" s="43"/>
      <c r="B264" s="43"/>
      <c r="C264" s="43"/>
      <c r="D264" s="43"/>
      <c r="E264" s="43"/>
      <c r="F264" s="43"/>
      <c r="G264" s="66"/>
    </row>
    <row r="265" spans="1:7" ht="24" customHeight="1">
      <c r="A265" s="43"/>
      <c r="B265" s="43"/>
      <c r="C265" s="43"/>
      <c r="D265" s="43"/>
      <c r="E265" s="43"/>
      <c r="F265" s="43"/>
      <c r="G265" s="43"/>
    </row>
    <row r="266" spans="1:7" ht="12.75" customHeight="1">
      <c r="A266" s="78"/>
      <c r="B266" s="78"/>
      <c r="C266" s="79"/>
      <c r="D266" s="78"/>
      <c r="E266" s="78"/>
      <c r="F266" s="79"/>
      <c r="G266" s="79"/>
    </row>
    <row r="267" spans="1:7" ht="12.75" customHeight="1">
      <c r="A267" s="455" t="s">
        <v>66</v>
      </c>
      <c r="B267" s="456"/>
      <c r="C267" s="456"/>
      <c r="D267" s="456"/>
      <c r="E267" s="456"/>
      <c r="F267" s="457"/>
      <c r="G267" s="69"/>
    </row>
    <row r="268" spans="1:7" ht="12.75" customHeight="1">
      <c r="A268" s="455" t="s">
        <v>67</v>
      </c>
      <c r="B268" s="456"/>
      <c r="C268" s="456"/>
      <c r="D268" s="456"/>
      <c r="E268" s="456"/>
      <c r="F268" s="457"/>
      <c r="G268" s="69"/>
    </row>
    <row r="269" spans="1:7" ht="12.75" customHeight="1">
      <c r="A269" s="38"/>
      <c r="B269" s="38"/>
      <c r="C269" s="39"/>
      <c r="D269" s="38"/>
      <c r="E269" s="38"/>
      <c r="F269" s="39"/>
      <c r="G269" s="39"/>
    </row>
    <row r="270" spans="1:7" ht="12.75" customHeight="1">
      <c r="A270" s="44">
        <v>1.4</v>
      </c>
      <c r="B270" s="44">
        <v>8.6999999999999993</v>
      </c>
      <c r="C270" s="42" t="s">
        <v>111</v>
      </c>
      <c r="D270" s="40"/>
      <c r="E270" s="40"/>
      <c r="F270" s="43"/>
      <c r="G270" s="43"/>
    </row>
    <row r="271" spans="1:7" ht="12.75" customHeight="1">
      <c r="A271" s="41" t="s">
        <v>29</v>
      </c>
      <c r="B271" s="41" t="s">
        <v>29</v>
      </c>
      <c r="C271" s="45" t="s">
        <v>29</v>
      </c>
      <c r="D271" s="40"/>
      <c r="E271" s="40"/>
      <c r="F271" s="45" t="s">
        <v>29</v>
      </c>
      <c r="G271" s="45" t="s">
        <v>29</v>
      </c>
    </row>
    <row r="272" spans="1:7" ht="12.75" customHeight="1">
      <c r="A272" s="41" t="s">
        <v>29</v>
      </c>
      <c r="B272" s="41" t="s">
        <v>29</v>
      </c>
      <c r="C272" s="80" t="s">
        <v>112</v>
      </c>
      <c r="D272" s="40"/>
      <c r="E272" s="40"/>
      <c r="F272" s="45" t="s">
        <v>29</v>
      </c>
      <c r="G272" s="45" t="s">
        <v>29</v>
      </c>
    </row>
    <row r="273" spans="1:7" ht="12.75" customHeight="1">
      <c r="A273" s="41" t="s">
        <v>29</v>
      </c>
      <c r="B273" s="41" t="s">
        <v>29</v>
      </c>
      <c r="C273" s="45" t="s">
        <v>113</v>
      </c>
      <c r="D273" s="40"/>
      <c r="E273" s="40"/>
      <c r="F273" s="45" t="s">
        <v>29</v>
      </c>
      <c r="G273" s="45" t="s">
        <v>29</v>
      </c>
    </row>
    <row r="274" spans="1:7" ht="12.75" customHeight="1">
      <c r="A274" s="40"/>
      <c r="B274" s="43"/>
      <c r="C274" s="43"/>
      <c r="D274" s="40"/>
      <c r="E274" s="40"/>
      <c r="F274" s="45" t="s">
        <v>29</v>
      </c>
      <c r="G274" s="45" t="s">
        <v>29</v>
      </c>
    </row>
    <row r="275" spans="1:7" ht="12.75" customHeight="1">
      <c r="A275" s="40"/>
      <c r="B275" s="41" t="s">
        <v>29</v>
      </c>
      <c r="C275" s="45" t="s">
        <v>114</v>
      </c>
      <c r="D275" s="41" t="s">
        <v>29</v>
      </c>
      <c r="E275" s="41" t="s">
        <v>29</v>
      </c>
      <c r="F275" s="45" t="s">
        <v>29</v>
      </c>
      <c r="G275" s="45" t="s">
        <v>29</v>
      </c>
    </row>
    <row r="276" spans="1:7" ht="12.75" customHeight="1">
      <c r="A276" s="40"/>
      <c r="B276" s="41" t="s">
        <v>29</v>
      </c>
      <c r="C276" s="45" t="s">
        <v>29</v>
      </c>
      <c r="D276" s="41" t="s">
        <v>29</v>
      </c>
      <c r="E276" s="41" t="s">
        <v>29</v>
      </c>
      <c r="F276" s="45" t="s">
        <v>29</v>
      </c>
      <c r="G276" s="45" t="s">
        <v>29</v>
      </c>
    </row>
    <row r="277" spans="1:7" ht="12.75" customHeight="1">
      <c r="A277" s="40"/>
      <c r="B277" s="40"/>
      <c r="C277" s="45" t="s">
        <v>115</v>
      </c>
      <c r="D277" s="41" t="s">
        <v>116</v>
      </c>
      <c r="E277" s="40"/>
      <c r="F277" s="43"/>
      <c r="G277" s="45" t="s">
        <v>54</v>
      </c>
    </row>
    <row r="278" spans="1:7" ht="12.75" customHeight="1">
      <c r="A278" s="40"/>
      <c r="B278" s="40"/>
      <c r="C278" s="45" t="s">
        <v>117</v>
      </c>
      <c r="D278" s="41" t="s">
        <v>116</v>
      </c>
      <c r="E278" s="40"/>
      <c r="F278" s="43"/>
      <c r="G278" s="45" t="s">
        <v>54</v>
      </c>
    </row>
    <row r="279" spans="1:7" ht="12.75" customHeight="1">
      <c r="A279" s="40"/>
      <c r="B279" s="40"/>
      <c r="C279" s="45" t="s">
        <v>118</v>
      </c>
      <c r="D279" s="41" t="s">
        <v>116</v>
      </c>
      <c r="E279" s="40"/>
      <c r="F279" s="43"/>
      <c r="G279" s="45" t="s">
        <v>54</v>
      </c>
    </row>
    <row r="280" spans="1:7" ht="12.75" customHeight="1">
      <c r="A280" s="40"/>
      <c r="B280" s="40"/>
      <c r="C280" s="45" t="s">
        <v>119</v>
      </c>
      <c r="D280" s="41" t="s">
        <v>120</v>
      </c>
      <c r="E280" s="40"/>
      <c r="F280" s="43"/>
      <c r="G280" s="45" t="s">
        <v>54</v>
      </c>
    </row>
    <row r="281" spans="1:7" ht="12.75" customHeight="1">
      <c r="A281" s="40"/>
      <c r="B281" s="43"/>
      <c r="C281" s="43"/>
      <c r="D281" s="40"/>
      <c r="E281" s="43"/>
      <c r="F281" s="43"/>
      <c r="G281" s="43"/>
    </row>
    <row r="282" spans="1:7" ht="12.75" customHeight="1">
      <c r="A282" s="40"/>
      <c r="B282" s="41" t="s">
        <v>29</v>
      </c>
      <c r="C282" s="45" t="s">
        <v>121</v>
      </c>
      <c r="D282" s="41" t="s">
        <v>29</v>
      </c>
      <c r="E282" s="40"/>
      <c r="F282" s="43"/>
      <c r="G282" s="43"/>
    </row>
    <row r="283" spans="1:7" ht="12.75" customHeight="1">
      <c r="A283" s="40"/>
      <c r="B283" s="41" t="s">
        <v>29</v>
      </c>
      <c r="C283" s="43"/>
      <c r="D283" s="41" t="s">
        <v>29</v>
      </c>
      <c r="E283" s="40"/>
      <c r="F283" s="43"/>
      <c r="G283" s="43"/>
    </row>
    <row r="284" spans="1:7" ht="12.75" customHeight="1">
      <c r="A284" s="40"/>
      <c r="B284" s="41" t="s">
        <v>29</v>
      </c>
      <c r="C284" s="45" t="s">
        <v>122</v>
      </c>
      <c r="D284" s="41" t="s">
        <v>29</v>
      </c>
      <c r="E284" s="40"/>
      <c r="F284" s="43"/>
      <c r="G284" s="43"/>
    </row>
    <row r="285" spans="1:7" ht="12.75" customHeight="1">
      <c r="A285" s="40"/>
      <c r="B285" s="41" t="s">
        <v>29</v>
      </c>
      <c r="C285" s="45" t="s">
        <v>123</v>
      </c>
      <c r="D285" s="41" t="s">
        <v>116</v>
      </c>
      <c r="E285" s="40"/>
      <c r="F285" s="43"/>
      <c r="G285" s="45" t="s">
        <v>54</v>
      </c>
    </row>
    <row r="286" spans="1:7" ht="12.75" customHeight="1">
      <c r="A286" s="40"/>
      <c r="B286" s="41" t="s">
        <v>29</v>
      </c>
      <c r="C286" s="45" t="s">
        <v>124</v>
      </c>
      <c r="D286" s="41" t="s">
        <v>116</v>
      </c>
      <c r="E286" s="40"/>
      <c r="F286" s="43"/>
      <c r="G286" s="45" t="s">
        <v>54</v>
      </c>
    </row>
    <row r="287" spans="1:7" ht="12.75" customHeight="1">
      <c r="A287" s="40"/>
      <c r="B287" s="43"/>
      <c r="C287" s="43"/>
      <c r="D287" s="40"/>
      <c r="E287" s="43"/>
      <c r="F287" s="43"/>
      <c r="G287" s="43"/>
    </row>
    <row r="288" spans="1:7" ht="12.75" customHeight="1">
      <c r="A288" s="40"/>
      <c r="B288" s="43"/>
      <c r="C288" s="45" t="s">
        <v>125</v>
      </c>
      <c r="D288" s="41" t="s">
        <v>116</v>
      </c>
      <c r="E288" s="40"/>
      <c r="F288" s="43"/>
      <c r="G288" s="45" t="s">
        <v>54</v>
      </c>
    </row>
    <row r="289" spans="1:7" ht="12.75" customHeight="1">
      <c r="A289" s="40"/>
      <c r="B289" s="43"/>
      <c r="C289" s="43"/>
      <c r="D289" s="40"/>
      <c r="E289" s="40"/>
      <c r="F289" s="43"/>
      <c r="G289" s="43"/>
    </row>
    <row r="290" spans="1:7" ht="12.75" customHeight="1">
      <c r="A290" s="40"/>
      <c r="B290" s="43"/>
      <c r="C290" s="45" t="s">
        <v>126</v>
      </c>
      <c r="D290" s="41" t="s">
        <v>29</v>
      </c>
      <c r="E290" s="40"/>
      <c r="F290" s="43"/>
      <c r="G290" s="43"/>
    </row>
    <row r="291" spans="1:7" ht="12.75" customHeight="1">
      <c r="A291" s="40"/>
      <c r="B291" s="43"/>
      <c r="C291" s="43"/>
      <c r="D291" s="40"/>
      <c r="E291" s="40"/>
      <c r="F291" s="43"/>
      <c r="G291" s="43"/>
    </row>
    <row r="292" spans="1:7" ht="12.75" customHeight="1">
      <c r="A292" s="40"/>
      <c r="B292" s="43"/>
      <c r="C292" s="45" t="s">
        <v>127</v>
      </c>
      <c r="D292" s="41" t="s">
        <v>116</v>
      </c>
      <c r="E292" s="40"/>
      <c r="F292" s="43"/>
      <c r="G292" s="45" t="s">
        <v>54</v>
      </c>
    </row>
    <row r="293" spans="1:7" ht="12.75" customHeight="1">
      <c r="A293" s="40"/>
      <c r="B293" s="43"/>
      <c r="C293" s="45" t="s">
        <v>29</v>
      </c>
      <c r="D293" s="41" t="s">
        <v>29</v>
      </c>
      <c r="E293" s="40"/>
      <c r="F293" s="43"/>
      <c r="G293" s="43"/>
    </row>
    <row r="294" spans="1:7" ht="12.75" customHeight="1">
      <c r="A294" s="40"/>
      <c r="B294" s="43"/>
      <c r="C294" s="45" t="s">
        <v>128</v>
      </c>
      <c r="D294" s="41" t="s">
        <v>116</v>
      </c>
      <c r="E294" s="40"/>
      <c r="F294" s="43"/>
      <c r="G294" s="45" t="s">
        <v>54</v>
      </c>
    </row>
    <row r="295" spans="1:7" ht="12.75" customHeight="1">
      <c r="A295" s="40"/>
      <c r="B295" s="43"/>
      <c r="C295" s="45" t="s">
        <v>29</v>
      </c>
      <c r="D295" s="41" t="s">
        <v>29</v>
      </c>
      <c r="E295" s="40"/>
      <c r="F295" s="43"/>
      <c r="G295" s="43"/>
    </row>
    <row r="296" spans="1:7" ht="12.75" customHeight="1">
      <c r="A296" s="40"/>
      <c r="B296" s="43"/>
      <c r="C296" s="45" t="s">
        <v>129</v>
      </c>
      <c r="D296" s="41" t="s">
        <v>116</v>
      </c>
      <c r="E296" s="40"/>
      <c r="F296" s="43"/>
      <c r="G296" s="45" t="s">
        <v>54</v>
      </c>
    </row>
    <row r="297" spans="1:7" ht="12.75" customHeight="1">
      <c r="A297" s="40"/>
      <c r="B297" s="43"/>
      <c r="C297" s="43"/>
      <c r="D297" s="40"/>
      <c r="E297" s="43"/>
      <c r="F297" s="43"/>
      <c r="G297" s="43"/>
    </row>
    <row r="298" spans="1:7" ht="12.75" customHeight="1">
      <c r="A298" s="40"/>
      <c r="B298" s="41" t="s">
        <v>29</v>
      </c>
      <c r="C298" s="45" t="s">
        <v>130</v>
      </c>
      <c r="D298" s="41" t="s">
        <v>29</v>
      </c>
      <c r="E298" s="40"/>
      <c r="F298" s="43"/>
      <c r="G298" s="43"/>
    </row>
    <row r="299" spans="1:7" ht="12.75" customHeight="1">
      <c r="A299" s="40"/>
      <c r="B299" s="43"/>
      <c r="C299" s="43"/>
      <c r="D299" s="40"/>
      <c r="E299" s="40"/>
      <c r="F299" s="43"/>
      <c r="G299" s="43"/>
    </row>
    <row r="300" spans="1:7" ht="12.75" customHeight="1">
      <c r="A300" s="40"/>
      <c r="B300" s="41" t="s">
        <v>29</v>
      </c>
      <c r="C300" s="45" t="s">
        <v>131</v>
      </c>
      <c r="D300" s="41" t="s">
        <v>132</v>
      </c>
      <c r="E300" s="40"/>
      <c r="F300" s="43"/>
      <c r="G300" s="45" t="s">
        <v>54</v>
      </c>
    </row>
    <row r="301" spans="1:7" ht="12.75" customHeight="1">
      <c r="A301" s="40"/>
      <c r="B301" s="41" t="s">
        <v>29</v>
      </c>
      <c r="C301" s="43"/>
      <c r="D301" s="40"/>
      <c r="E301" s="40"/>
      <c r="F301" s="43"/>
      <c r="G301" s="43"/>
    </row>
    <row r="302" spans="1:7" ht="12.75" customHeight="1">
      <c r="A302" s="40"/>
      <c r="B302" s="41" t="s">
        <v>29</v>
      </c>
      <c r="C302" s="45" t="s">
        <v>133</v>
      </c>
      <c r="D302" s="40"/>
      <c r="E302" s="40"/>
      <c r="F302" s="43"/>
      <c r="G302" s="43"/>
    </row>
    <row r="303" spans="1:7" ht="12.75" customHeight="1">
      <c r="A303" s="40"/>
      <c r="B303" s="41" t="s">
        <v>29</v>
      </c>
      <c r="C303" s="43"/>
      <c r="D303" s="40"/>
      <c r="E303" s="40"/>
      <c r="F303" s="43"/>
      <c r="G303" s="43"/>
    </row>
    <row r="304" spans="1:7" ht="12.75" customHeight="1">
      <c r="A304" s="40"/>
      <c r="B304" s="41" t="s">
        <v>29</v>
      </c>
      <c r="C304" s="45" t="s">
        <v>134</v>
      </c>
      <c r="D304" s="40"/>
      <c r="E304" s="40"/>
      <c r="F304" s="43"/>
      <c r="G304" s="43"/>
    </row>
    <row r="305" spans="1:7" ht="12.75" customHeight="1">
      <c r="A305" s="40"/>
      <c r="B305" s="43"/>
      <c r="C305" s="45" t="s">
        <v>29</v>
      </c>
      <c r="D305" s="41" t="s">
        <v>116</v>
      </c>
      <c r="E305" s="40"/>
      <c r="F305" s="43"/>
      <c r="G305" s="45" t="s">
        <v>54</v>
      </c>
    </row>
    <row r="306" spans="1:7" ht="12.75" customHeight="1">
      <c r="A306" s="40"/>
      <c r="B306" s="43"/>
      <c r="C306" s="45" t="s">
        <v>135</v>
      </c>
      <c r="D306" s="41" t="s">
        <v>29</v>
      </c>
      <c r="E306" s="40"/>
      <c r="F306" s="43"/>
      <c r="G306" s="43"/>
    </row>
    <row r="307" spans="1:7" ht="12.75" customHeight="1">
      <c r="A307" s="40"/>
      <c r="B307" s="43"/>
      <c r="C307" s="43"/>
      <c r="D307" s="41" t="s">
        <v>116</v>
      </c>
      <c r="E307" s="40"/>
      <c r="F307" s="43"/>
      <c r="G307" s="45" t="s">
        <v>54</v>
      </c>
    </row>
    <row r="308" spans="1:7" ht="12.75" customHeight="1">
      <c r="A308" s="40"/>
      <c r="B308" s="43"/>
      <c r="C308" s="45" t="s">
        <v>136</v>
      </c>
      <c r="D308" s="40"/>
      <c r="E308" s="43"/>
      <c r="F308" s="43"/>
      <c r="G308" s="43"/>
    </row>
    <row r="309" spans="1:7" ht="12.75" customHeight="1">
      <c r="A309" s="40"/>
      <c r="B309" s="43"/>
      <c r="C309" s="43"/>
      <c r="D309" s="41" t="s">
        <v>116</v>
      </c>
      <c r="E309" s="40"/>
      <c r="F309" s="43"/>
      <c r="G309" s="45" t="s">
        <v>54</v>
      </c>
    </row>
    <row r="310" spans="1:7" ht="12.75" customHeight="1">
      <c r="A310" s="40"/>
      <c r="B310" s="43"/>
      <c r="C310" s="48"/>
      <c r="D310" s="40"/>
      <c r="E310" s="43"/>
      <c r="F310" s="43"/>
      <c r="G310" s="43"/>
    </row>
    <row r="311" spans="1:7" ht="12.75" customHeight="1">
      <c r="A311" s="40"/>
      <c r="B311" s="41" t="s">
        <v>29</v>
      </c>
      <c r="C311" s="45" t="s">
        <v>137</v>
      </c>
      <c r="D311" s="41" t="s">
        <v>29</v>
      </c>
      <c r="E311" s="40"/>
      <c r="F311" s="43"/>
      <c r="G311" s="45" t="s">
        <v>29</v>
      </c>
    </row>
    <row r="312" spans="1:7" ht="12.75" customHeight="1">
      <c r="A312" s="40"/>
      <c r="B312" s="41" t="s">
        <v>29</v>
      </c>
      <c r="C312" s="45" t="s">
        <v>138</v>
      </c>
      <c r="D312" s="40"/>
      <c r="E312" s="40"/>
      <c r="F312" s="43"/>
      <c r="G312" s="45" t="s">
        <v>29</v>
      </c>
    </row>
    <row r="313" spans="1:7" ht="12.75" customHeight="1">
      <c r="A313" s="40"/>
      <c r="B313" s="41" t="s">
        <v>29</v>
      </c>
      <c r="C313" s="45" t="s">
        <v>139</v>
      </c>
      <c r="D313" s="41" t="s">
        <v>29</v>
      </c>
      <c r="E313" s="40"/>
      <c r="F313" s="43"/>
      <c r="G313" s="45" t="s">
        <v>29</v>
      </c>
    </row>
    <row r="314" spans="1:7" ht="12.75" customHeight="1">
      <c r="A314" s="40"/>
      <c r="B314" s="41" t="s">
        <v>29</v>
      </c>
      <c r="C314" s="45" t="s">
        <v>29</v>
      </c>
      <c r="D314" s="41" t="s">
        <v>116</v>
      </c>
      <c r="E314" s="40"/>
      <c r="F314" s="43"/>
      <c r="G314" s="45" t="s">
        <v>54</v>
      </c>
    </row>
    <row r="315" spans="1:7" ht="12.75" customHeight="1">
      <c r="A315" s="41" t="s">
        <v>29</v>
      </c>
      <c r="B315" s="41" t="s">
        <v>29</v>
      </c>
      <c r="C315" s="45" t="s">
        <v>140</v>
      </c>
      <c r="D315" s="41" t="s">
        <v>29</v>
      </c>
      <c r="E315" s="40"/>
      <c r="F315" s="43"/>
      <c r="G315" s="43"/>
    </row>
    <row r="316" spans="1:7" ht="12.5" customHeight="1">
      <c r="A316" s="40"/>
      <c r="B316" s="43"/>
      <c r="C316" s="43"/>
      <c r="D316" s="41"/>
      <c r="E316" s="40"/>
      <c r="F316" s="43"/>
      <c r="G316" s="45"/>
    </row>
    <row r="317" spans="1:7" ht="12.75" customHeight="1">
      <c r="A317" s="40"/>
      <c r="B317" s="43"/>
      <c r="C317" s="43"/>
      <c r="D317" s="41" t="s">
        <v>116</v>
      </c>
      <c r="E317" s="40"/>
      <c r="F317" s="43"/>
      <c r="G317" s="45" t="s">
        <v>54</v>
      </c>
    </row>
    <row r="318" spans="1:7" s="446" customFormat="1" ht="12.75" customHeight="1">
      <c r="A318" s="40"/>
      <c r="B318" s="43"/>
      <c r="C318" s="43"/>
      <c r="D318" s="41"/>
      <c r="E318" s="40"/>
      <c r="F318" s="43"/>
      <c r="G318" s="45"/>
    </row>
    <row r="319" spans="1:7" s="446" customFormat="1" ht="12.75" customHeight="1">
      <c r="A319" s="40"/>
      <c r="B319" s="43"/>
      <c r="C319" s="43"/>
      <c r="D319" s="41"/>
      <c r="E319" s="40"/>
      <c r="F319" s="43"/>
      <c r="G319" s="45"/>
    </row>
    <row r="320" spans="1:7" s="446" customFormat="1" ht="12.75" customHeight="1">
      <c r="A320" s="40"/>
      <c r="B320" s="43"/>
      <c r="C320" s="43"/>
      <c r="D320" s="41"/>
      <c r="E320" s="40"/>
      <c r="F320" s="43"/>
      <c r="G320" s="45"/>
    </row>
    <row r="321" spans="1:7" s="446" customFormat="1" ht="12.75" customHeight="1">
      <c r="A321" s="40"/>
      <c r="B321" s="43"/>
      <c r="C321" s="43"/>
      <c r="D321" s="41"/>
      <c r="E321" s="40"/>
      <c r="F321" s="43"/>
      <c r="G321" s="45"/>
    </row>
    <row r="322" spans="1:7" s="446" customFormat="1" ht="12.75" customHeight="1">
      <c r="A322" s="40"/>
      <c r="B322" s="43"/>
      <c r="C322" s="43"/>
      <c r="D322" s="41"/>
      <c r="E322" s="40"/>
      <c r="F322" s="43"/>
      <c r="G322" s="45"/>
    </row>
    <row r="323" spans="1:7" s="446" customFormat="1" ht="12.75" customHeight="1">
      <c r="A323" s="40"/>
      <c r="B323" s="43"/>
      <c r="C323" s="43"/>
      <c r="D323" s="41"/>
      <c r="E323" s="40"/>
      <c r="F323" s="43"/>
      <c r="G323" s="45"/>
    </row>
    <row r="324" spans="1:7" s="446" customFormat="1" ht="12.75" customHeight="1">
      <c r="A324" s="40"/>
      <c r="B324" s="43"/>
      <c r="C324" s="43"/>
      <c r="D324" s="41"/>
      <c r="E324" s="40"/>
      <c r="F324" s="43"/>
      <c r="G324" s="45"/>
    </row>
    <row r="325" spans="1:7" s="446" customFormat="1" ht="12.75" customHeight="1">
      <c r="A325" s="40"/>
      <c r="B325" s="43"/>
      <c r="C325" s="43"/>
      <c r="D325" s="41"/>
      <c r="E325" s="40"/>
      <c r="F325" s="43"/>
      <c r="G325" s="45"/>
    </row>
    <row r="326" spans="1:7" s="446" customFormat="1" ht="12.75" customHeight="1">
      <c r="A326" s="40"/>
      <c r="B326" s="43"/>
      <c r="C326" s="43"/>
      <c r="D326" s="41"/>
      <c r="E326" s="40"/>
      <c r="F326" s="43"/>
      <c r="G326" s="45"/>
    </row>
    <row r="327" spans="1:7" s="446" customFormat="1" ht="12.75" customHeight="1">
      <c r="A327" s="40"/>
      <c r="B327" s="43"/>
      <c r="C327" s="43"/>
      <c r="D327" s="41"/>
      <c r="E327" s="40"/>
      <c r="F327" s="43"/>
      <c r="G327" s="45"/>
    </row>
    <row r="328" spans="1:7" s="446" customFormat="1" ht="12.75" customHeight="1">
      <c r="A328" s="40"/>
      <c r="B328" s="43"/>
      <c r="C328" s="43"/>
      <c r="D328" s="41"/>
      <c r="E328" s="40"/>
      <c r="F328" s="43"/>
      <c r="G328" s="45"/>
    </row>
    <row r="329" spans="1:7" s="446" customFormat="1" ht="12.75" customHeight="1">
      <c r="A329" s="40"/>
      <c r="B329" s="43"/>
      <c r="C329" s="43"/>
      <c r="D329" s="41"/>
      <c r="E329" s="40"/>
      <c r="F329" s="43"/>
      <c r="G329" s="45"/>
    </row>
    <row r="330" spans="1:7" s="446" customFormat="1" ht="12.75" customHeight="1">
      <c r="A330" s="40"/>
      <c r="B330" s="43"/>
      <c r="C330" s="43"/>
      <c r="D330" s="41"/>
      <c r="E330" s="40"/>
      <c r="F330" s="43"/>
      <c r="G330" s="45"/>
    </row>
    <row r="331" spans="1:7" s="446" customFormat="1" ht="12.75" customHeight="1">
      <c r="A331" s="40"/>
      <c r="B331" s="43"/>
      <c r="C331" s="43"/>
      <c r="D331" s="41"/>
      <c r="E331" s="40"/>
      <c r="F331" s="43"/>
      <c r="G331" s="45"/>
    </row>
    <row r="332" spans="1:7" s="446" customFormat="1" ht="12.75" customHeight="1">
      <c r="A332" s="40"/>
      <c r="B332" s="43"/>
      <c r="C332" s="43"/>
      <c r="D332" s="41"/>
      <c r="E332" s="40"/>
      <c r="F332" s="43"/>
      <c r="G332" s="45"/>
    </row>
    <row r="333" spans="1:7" ht="12.75" customHeight="1">
      <c r="A333" s="40"/>
      <c r="B333" s="43"/>
      <c r="C333" s="43"/>
      <c r="D333" s="40"/>
      <c r="E333" s="43"/>
      <c r="F333" s="45" t="s">
        <v>29</v>
      </c>
      <c r="G333" s="45" t="s">
        <v>29</v>
      </c>
    </row>
    <row r="334" spans="1:7" ht="12.75" customHeight="1">
      <c r="A334" s="40"/>
      <c r="B334" s="43"/>
      <c r="C334" s="43"/>
      <c r="D334" s="40"/>
      <c r="E334" s="43"/>
      <c r="F334" s="45"/>
      <c r="G334" s="45"/>
    </row>
    <row r="335" spans="1:7" ht="12.75" customHeight="1">
      <c r="A335" s="60" t="s">
        <v>66</v>
      </c>
      <c r="B335" s="61"/>
      <c r="C335" s="61"/>
      <c r="D335" s="61"/>
      <c r="E335" s="61"/>
      <c r="F335" s="62"/>
      <c r="G335" s="69">
        <f>SUM(G268:G333)</f>
        <v>0</v>
      </c>
    </row>
    <row r="336" spans="1:7" ht="12.75" customHeight="1">
      <c r="A336" s="60" t="s">
        <v>67</v>
      </c>
      <c r="B336" s="62"/>
      <c r="C336" s="81" t="s">
        <v>29</v>
      </c>
      <c r="D336" s="82"/>
      <c r="E336" s="61"/>
      <c r="F336" s="62"/>
      <c r="G336" s="69">
        <f>G335</f>
        <v>0</v>
      </c>
    </row>
    <row r="337" spans="1:7" ht="12.75" customHeight="1">
      <c r="A337" s="83" t="s">
        <v>29</v>
      </c>
      <c r="B337" s="83" t="s">
        <v>29</v>
      </c>
      <c r="C337" s="36"/>
      <c r="D337" s="83" t="s">
        <v>29</v>
      </c>
      <c r="E337" s="83" t="s">
        <v>29</v>
      </c>
      <c r="F337" s="84" t="s">
        <v>29</v>
      </c>
      <c r="G337" s="84" t="s">
        <v>29</v>
      </c>
    </row>
    <row r="338" spans="1:7" ht="12.75" customHeight="1">
      <c r="A338" s="40"/>
      <c r="B338" s="41" t="s">
        <v>29</v>
      </c>
      <c r="C338" s="45" t="s">
        <v>141</v>
      </c>
      <c r="D338" s="41" t="s">
        <v>29</v>
      </c>
      <c r="E338" s="41" t="s">
        <v>29</v>
      </c>
      <c r="F338" s="45" t="s">
        <v>29</v>
      </c>
      <c r="G338" s="45" t="s">
        <v>29</v>
      </c>
    </row>
    <row r="339" spans="1:7" ht="12.75" customHeight="1">
      <c r="A339" s="40"/>
      <c r="B339" s="41" t="s">
        <v>29</v>
      </c>
      <c r="C339" s="45" t="s">
        <v>142</v>
      </c>
      <c r="D339" s="40"/>
      <c r="E339" s="40"/>
      <c r="F339" s="45" t="s">
        <v>29</v>
      </c>
      <c r="G339" s="45" t="s">
        <v>29</v>
      </c>
    </row>
    <row r="340" spans="1:7" ht="12.75" customHeight="1">
      <c r="A340" s="40"/>
      <c r="B340" s="41" t="s">
        <v>29</v>
      </c>
      <c r="C340" s="45" t="s">
        <v>143</v>
      </c>
      <c r="D340" s="41" t="s">
        <v>29</v>
      </c>
      <c r="E340" s="41" t="s">
        <v>29</v>
      </c>
      <c r="F340" s="45" t="s">
        <v>29</v>
      </c>
      <c r="G340" s="45" t="s">
        <v>29</v>
      </c>
    </row>
    <row r="341" spans="1:7" ht="12.75" customHeight="1">
      <c r="A341" s="40"/>
      <c r="B341" s="41" t="s">
        <v>29</v>
      </c>
      <c r="C341" s="45" t="s">
        <v>29</v>
      </c>
      <c r="D341" s="41" t="s">
        <v>116</v>
      </c>
      <c r="E341" s="40"/>
      <c r="F341" s="43"/>
      <c r="G341" s="45" t="s">
        <v>54</v>
      </c>
    </row>
    <row r="342" spans="1:7" ht="12.75" customHeight="1">
      <c r="A342" s="40"/>
      <c r="B342" s="41" t="s">
        <v>29</v>
      </c>
      <c r="C342" s="45" t="s">
        <v>144</v>
      </c>
      <c r="D342" s="41" t="s">
        <v>29</v>
      </c>
      <c r="E342" s="40"/>
      <c r="F342" s="43"/>
      <c r="G342" s="43"/>
    </row>
    <row r="343" spans="1:7" ht="12.75" customHeight="1">
      <c r="A343" s="40"/>
      <c r="B343" s="43"/>
      <c r="C343" s="48"/>
      <c r="D343" s="41" t="s">
        <v>116</v>
      </c>
      <c r="E343" s="40"/>
      <c r="F343" s="43"/>
      <c r="G343" s="45" t="s">
        <v>54</v>
      </c>
    </row>
    <row r="344" spans="1:7" ht="12.75" customHeight="1">
      <c r="A344" s="47"/>
      <c r="B344" s="48"/>
      <c r="C344" s="48"/>
      <c r="D344" s="47"/>
      <c r="E344" s="48"/>
      <c r="F344" s="43"/>
      <c r="G344" s="43"/>
    </row>
    <row r="345" spans="1:7" ht="12.75" customHeight="1">
      <c r="A345" s="40"/>
      <c r="B345" s="41" t="s">
        <v>29</v>
      </c>
      <c r="C345" s="45" t="s">
        <v>145</v>
      </c>
      <c r="D345" s="41" t="s">
        <v>29</v>
      </c>
      <c r="E345" s="40"/>
      <c r="F345" s="43"/>
      <c r="G345" s="43"/>
    </row>
    <row r="346" spans="1:7" ht="12.75" customHeight="1">
      <c r="A346" s="40"/>
      <c r="B346" s="41" t="s">
        <v>29</v>
      </c>
      <c r="C346" s="45" t="s">
        <v>146</v>
      </c>
      <c r="D346" s="40"/>
      <c r="E346" s="40"/>
      <c r="F346" s="43"/>
      <c r="G346" s="43"/>
    </row>
    <row r="347" spans="1:7" ht="12.75" customHeight="1">
      <c r="A347" s="40"/>
      <c r="B347" s="41" t="s">
        <v>29</v>
      </c>
      <c r="C347" s="45" t="s">
        <v>147</v>
      </c>
      <c r="D347" s="41" t="s">
        <v>29</v>
      </c>
      <c r="E347" s="40"/>
      <c r="F347" s="43"/>
      <c r="G347" s="43"/>
    </row>
    <row r="348" spans="1:7" ht="12.75" customHeight="1">
      <c r="A348" s="40"/>
      <c r="B348" s="41" t="s">
        <v>29</v>
      </c>
      <c r="C348" s="45" t="s">
        <v>29</v>
      </c>
      <c r="D348" s="41" t="s">
        <v>116</v>
      </c>
      <c r="E348" s="40"/>
      <c r="F348" s="43"/>
      <c r="G348" s="45" t="s">
        <v>54</v>
      </c>
    </row>
    <row r="349" spans="1:7" ht="12.75" customHeight="1">
      <c r="A349" s="40"/>
      <c r="B349" s="41" t="s">
        <v>29</v>
      </c>
      <c r="C349" s="45" t="s">
        <v>148</v>
      </c>
      <c r="D349" s="41" t="s">
        <v>29</v>
      </c>
      <c r="E349" s="40"/>
      <c r="F349" s="43"/>
      <c r="G349" s="43"/>
    </row>
    <row r="350" spans="1:7" ht="12.75" customHeight="1">
      <c r="A350" s="40"/>
      <c r="B350" s="43"/>
      <c r="C350" s="43"/>
      <c r="D350" s="41" t="s">
        <v>116</v>
      </c>
      <c r="E350" s="40"/>
      <c r="F350" s="43"/>
      <c r="G350" s="45" t="s">
        <v>54</v>
      </c>
    </row>
    <row r="351" spans="1:7" ht="12.75" customHeight="1">
      <c r="A351" s="40"/>
      <c r="B351" s="43"/>
      <c r="C351" s="45" t="s">
        <v>149</v>
      </c>
      <c r="D351" s="40"/>
      <c r="E351" s="40"/>
      <c r="F351" s="43"/>
      <c r="G351" s="43"/>
    </row>
    <row r="352" spans="1:7" ht="12.75" customHeight="1">
      <c r="A352" s="40"/>
      <c r="B352" s="43"/>
      <c r="C352" s="48"/>
      <c r="D352" s="41" t="s">
        <v>116</v>
      </c>
      <c r="E352" s="40"/>
      <c r="F352" s="43"/>
      <c r="G352" s="45" t="s">
        <v>54</v>
      </c>
    </row>
    <row r="353" spans="1:7" ht="12.75" customHeight="1">
      <c r="A353" s="40"/>
      <c r="B353" s="41" t="s">
        <v>29</v>
      </c>
      <c r="C353" s="45" t="s">
        <v>150</v>
      </c>
      <c r="D353" s="41" t="s">
        <v>29</v>
      </c>
      <c r="E353" s="40"/>
      <c r="F353" s="43"/>
      <c r="G353" s="43"/>
    </row>
    <row r="354" spans="1:7" ht="12.75" customHeight="1">
      <c r="A354" s="40"/>
      <c r="B354" s="43"/>
      <c r="C354" s="48"/>
      <c r="D354" s="41" t="s">
        <v>116</v>
      </c>
      <c r="E354" s="40"/>
      <c r="F354" s="43"/>
      <c r="G354" s="45" t="s">
        <v>54</v>
      </c>
    </row>
    <row r="355" spans="1:7" ht="12.75" customHeight="1">
      <c r="A355" s="47"/>
      <c r="B355" s="48"/>
      <c r="C355" s="48"/>
      <c r="D355" s="47"/>
      <c r="E355" s="47"/>
      <c r="F355" s="43"/>
      <c r="G355" s="85"/>
    </row>
    <row r="356" spans="1:7" ht="12.75" customHeight="1">
      <c r="A356" s="40"/>
      <c r="B356" s="41" t="s">
        <v>29</v>
      </c>
      <c r="C356" s="45" t="s">
        <v>151</v>
      </c>
      <c r="D356" s="41" t="s">
        <v>29</v>
      </c>
      <c r="E356" s="40"/>
      <c r="F356" s="43"/>
      <c r="G356" s="43"/>
    </row>
    <row r="357" spans="1:7" ht="12.75" customHeight="1">
      <c r="A357" s="40"/>
      <c r="B357" s="41" t="s">
        <v>29</v>
      </c>
      <c r="C357" s="45" t="s">
        <v>152</v>
      </c>
      <c r="D357" s="41" t="s">
        <v>29</v>
      </c>
      <c r="E357" s="40"/>
      <c r="F357" s="43"/>
      <c r="G357" s="85"/>
    </row>
    <row r="358" spans="1:7" ht="12.75" customHeight="1">
      <c r="A358" s="40"/>
      <c r="B358" s="41" t="s">
        <v>29</v>
      </c>
      <c r="C358" s="45" t="s">
        <v>153</v>
      </c>
      <c r="D358" s="41" t="s">
        <v>29</v>
      </c>
      <c r="E358" s="40"/>
      <c r="F358" s="43"/>
      <c r="G358" s="43"/>
    </row>
    <row r="359" spans="1:7" ht="12.75" customHeight="1">
      <c r="A359" s="40"/>
      <c r="B359" s="41" t="s">
        <v>29</v>
      </c>
      <c r="C359" s="45" t="s">
        <v>29</v>
      </c>
      <c r="D359" s="41" t="s">
        <v>116</v>
      </c>
      <c r="E359" s="40"/>
      <c r="F359" s="43"/>
      <c r="G359" s="45" t="s">
        <v>54</v>
      </c>
    </row>
    <row r="360" spans="1:7" ht="12.75" customHeight="1">
      <c r="A360" s="40"/>
      <c r="B360" s="41" t="s">
        <v>29</v>
      </c>
      <c r="C360" s="45" t="s">
        <v>154</v>
      </c>
      <c r="D360" s="41" t="s">
        <v>29</v>
      </c>
      <c r="E360" s="40"/>
      <c r="F360" s="43"/>
      <c r="G360" s="43"/>
    </row>
    <row r="361" spans="1:7" ht="12.75" customHeight="1">
      <c r="A361" s="40"/>
      <c r="B361" s="41" t="s">
        <v>29</v>
      </c>
      <c r="C361" s="45" t="s">
        <v>29</v>
      </c>
      <c r="D361" s="41" t="s">
        <v>116</v>
      </c>
      <c r="E361" s="40"/>
      <c r="F361" s="43"/>
      <c r="G361" s="45" t="s">
        <v>54</v>
      </c>
    </row>
    <row r="362" spans="1:7" ht="12.75" customHeight="1">
      <c r="A362" s="40"/>
      <c r="B362" s="41" t="s">
        <v>29</v>
      </c>
      <c r="C362" s="45" t="s">
        <v>155</v>
      </c>
      <c r="D362" s="41" t="s">
        <v>29</v>
      </c>
      <c r="E362" s="40"/>
      <c r="F362" s="43"/>
      <c r="G362" s="43"/>
    </row>
    <row r="363" spans="1:7" ht="12.75" customHeight="1">
      <c r="A363" s="40"/>
      <c r="B363" s="41" t="s">
        <v>29</v>
      </c>
      <c r="C363" s="48"/>
      <c r="D363" s="41" t="s">
        <v>116</v>
      </c>
      <c r="E363" s="40"/>
      <c r="F363" s="43"/>
      <c r="G363" s="45" t="s">
        <v>54</v>
      </c>
    </row>
    <row r="364" spans="1:7" ht="12.75" customHeight="1">
      <c r="A364" s="40"/>
      <c r="B364" s="41" t="s">
        <v>29</v>
      </c>
      <c r="C364" s="43"/>
      <c r="D364" s="47"/>
      <c r="E364" s="47"/>
      <c r="F364" s="43"/>
      <c r="G364" s="43"/>
    </row>
    <row r="365" spans="1:7" ht="12.75" customHeight="1">
      <c r="A365" s="40"/>
      <c r="B365" s="41" t="s">
        <v>29</v>
      </c>
      <c r="C365" s="45" t="s">
        <v>156</v>
      </c>
      <c r="D365" s="41" t="s">
        <v>29</v>
      </c>
      <c r="E365" s="40"/>
      <c r="F365" s="43"/>
      <c r="G365" s="43"/>
    </row>
    <row r="366" spans="1:7" ht="12.75" customHeight="1">
      <c r="A366" s="40"/>
      <c r="B366" s="41" t="s">
        <v>29</v>
      </c>
      <c r="C366" s="45" t="s">
        <v>157</v>
      </c>
      <c r="D366" s="41" t="s">
        <v>29</v>
      </c>
      <c r="E366" s="40"/>
      <c r="F366" s="43"/>
      <c r="G366" s="43"/>
    </row>
    <row r="367" spans="1:7" ht="12.75" customHeight="1">
      <c r="A367" s="40"/>
      <c r="B367" s="41" t="s">
        <v>29</v>
      </c>
      <c r="C367" s="45" t="s">
        <v>153</v>
      </c>
      <c r="D367" s="41" t="s">
        <v>29</v>
      </c>
      <c r="E367" s="40"/>
      <c r="F367" s="43"/>
      <c r="G367" s="43"/>
    </row>
    <row r="368" spans="1:7" ht="12.75" customHeight="1">
      <c r="A368" s="40"/>
      <c r="B368" s="41" t="s">
        <v>29</v>
      </c>
      <c r="C368" s="45" t="s">
        <v>29</v>
      </c>
      <c r="D368" s="41" t="s">
        <v>116</v>
      </c>
      <c r="E368" s="40"/>
      <c r="F368" s="43"/>
      <c r="G368" s="45" t="s">
        <v>54</v>
      </c>
    </row>
    <row r="369" spans="1:7" ht="12.75" customHeight="1">
      <c r="A369" s="41" t="s">
        <v>29</v>
      </c>
      <c r="B369" s="41" t="s">
        <v>29</v>
      </c>
      <c r="C369" s="45" t="s">
        <v>154</v>
      </c>
      <c r="D369" s="41" t="s">
        <v>29</v>
      </c>
      <c r="E369" s="40"/>
      <c r="F369" s="43"/>
      <c r="G369" s="43"/>
    </row>
    <row r="370" spans="1:7" ht="12.75" customHeight="1">
      <c r="A370" s="41" t="s">
        <v>29</v>
      </c>
      <c r="B370" s="41" t="s">
        <v>29</v>
      </c>
      <c r="C370" s="45" t="s">
        <v>29</v>
      </c>
      <c r="D370" s="41" t="s">
        <v>116</v>
      </c>
      <c r="E370" s="40"/>
      <c r="F370" s="43"/>
      <c r="G370" s="45" t="s">
        <v>54</v>
      </c>
    </row>
    <row r="371" spans="1:7" ht="12.75" customHeight="1">
      <c r="A371" s="41" t="s">
        <v>29</v>
      </c>
      <c r="B371" s="41" t="s">
        <v>29</v>
      </c>
      <c r="C371" s="45" t="s">
        <v>155</v>
      </c>
      <c r="D371" s="41" t="s">
        <v>116</v>
      </c>
      <c r="E371" s="40"/>
      <c r="F371" s="43"/>
      <c r="G371" s="45" t="s">
        <v>54</v>
      </c>
    </row>
    <row r="372" spans="1:7" s="446" customFormat="1" ht="12.75" customHeight="1">
      <c r="A372" s="41"/>
      <c r="B372" s="41"/>
      <c r="C372" s="45"/>
      <c r="D372" s="41"/>
      <c r="E372" s="40"/>
      <c r="F372" s="43"/>
      <c r="G372" s="45"/>
    </row>
    <row r="373" spans="1:7" s="446" customFormat="1" ht="12.75" customHeight="1">
      <c r="A373" s="41"/>
      <c r="B373" s="41"/>
      <c r="C373" s="45"/>
      <c r="D373" s="41"/>
      <c r="E373" s="40"/>
      <c r="F373" s="43"/>
      <c r="G373" s="45"/>
    </row>
    <row r="374" spans="1:7" s="446" customFormat="1" ht="12.75" customHeight="1">
      <c r="A374" s="41"/>
      <c r="B374" s="41"/>
      <c r="C374" s="45"/>
      <c r="D374" s="41"/>
      <c r="E374" s="40"/>
      <c r="F374" s="43"/>
      <c r="G374" s="45"/>
    </row>
    <row r="375" spans="1:7" s="446" customFormat="1" ht="12.75" customHeight="1">
      <c r="A375" s="41"/>
      <c r="B375" s="41"/>
      <c r="C375" s="45"/>
      <c r="D375" s="41"/>
      <c r="E375" s="40"/>
      <c r="F375" s="43"/>
      <c r="G375" s="45"/>
    </row>
    <row r="376" spans="1:7" s="446" customFormat="1" ht="12.75" customHeight="1">
      <c r="A376" s="41"/>
      <c r="B376" s="41"/>
      <c r="C376" s="45"/>
      <c r="D376" s="41"/>
      <c r="E376" s="40"/>
      <c r="F376" s="43"/>
      <c r="G376" s="45"/>
    </row>
    <row r="377" spans="1:7" s="446" customFormat="1" ht="12.75" customHeight="1">
      <c r="A377" s="41"/>
      <c r="B377" s="41"/>
      <c r="C377" s="45"/>
      <c r="D377" s="41"/>
      <c r="E377" s="40"/>
      <c r="F377" s="43"/>
      <c r="G377" s="45"/>
    </row>
    <row r="378" spans="1:7" s="446" customFormat="1" ht="12.75" customHeight="1">
      <c r="A378" s="41"/>
      <c r="B378" s="41"/>
      <c r="C378" s="45"/>
      <c r="D378" s="41"/>
      <c r="E378" s="40"/>
      <c r="F378" s="43"/>
      <c r="G378" s="45"/>
    </row>
    <row r="379" spans="1:7" s="446" customFormat="1" ht="12.75" customHeight="1">
      <c r="A379" s="41"/>
      <c r="B379" s="41"/>
      <c r="C379" s="45"/>
      <c r="D379" s="41"/>
      <c r="E379" s="40"/>
      <c r="F379" s="43"/>
      <c r="G379" s="45"/>
    </row>
    <row r="380" spans="1:7" s="446" customFormat="1" ht="12.75" customHeight="1">
      <c r="A380" s="41"/>
      <c r="B380" s="41"/>
      <c r="C380" s="45"/>
      <c r="D380" s="41"/>
      <c r="E380" s="40"/>
      <c r="F380" s="43"/>
      <c r="G380" s="45"/>
    </row>
    <row r="381" spans="1:7" s="446" customFormat="1" ht="12.75" customHeight="1">
      <c r="A381" s="41"/>
      <c r="B381" s="41"/>
      <c r="C381" s="45"/>
      <c r="D381" s="41"/>
      <c r="E381" s="40"/>
      <c r="F381" s="43"/>
      <c r="G381" s="45"/>
    </row>
    <row r="382" spans="1:7" s="446" customFormat="1" ht="12.75" customHeight="1">
      <c r="A382" s="41"/>
      <c r="B382" s="41"/>
      <c r="C382" s="45"/>
      <c r="D382" s="41"/>
      <c r="E382" s="40"/>
      <c r="F382" s="43"/>
      <c r="G382" s="45"/>
    </row>
    <row r="383" spans="1:7" s="446" customFormat="1" ht="12.75" customHeight="1">
      <c r="A383" s="41"/>
      <c r="B383" s="41"/>
      <c r="C383" s="45"/>
      <c r="D383" s="41"/>
      <c r="E383" s="40"/>
      <c r="F383" s="43"/>
      <c r="G383" s="45"/>
    </row>
    <row r="384" spans="1:7" s="446" customFormat="1" ht="12.75" customHeight="1">
      <c r="A384" s="41"/>
      <c r="B384" s="41"/>
      <c r="C384" s="45"/>
      <c r="D384" s="41"/>
      <c r="E384" s="40"/>
      <c r="F384" s="43"/>
      <c r="G384" s="45"/>
    </row>
    <row r="385" spans="1:7" s="446" customFormat="1" ht="12.75" customHeight="1">
      <c r="A385" s="41"/>
      <c r="B385" s="41"/>
      <c r="C385" s="45"/>
      <c r="D385" s="41"/>
      <c r="E385" s="40"/>
      <c r="F385" s="43"/>
      <c r="G385" s="45"/>
    </row>
    <row r="386" spans="1:7" s="446" customFormat="1" ht="12.75" customHeight="1">
      <c r="A386" s="41"/>
      <c r="B386" s="41"/>
      <c r="C386" s="45"/>
      <c r="D386" s="41"/>
      <c r="E386" s="40"/>
      <c r="F386" s="43"/>
      <c r="G386" s="45"/>
    </row>
    <row r="387" spans="1:7" s="446" customFormat="1" ht="12.75" customHeight="1">
      <c r="A387" s="41"/>
      <c r="B387" s="41"/>
      <c r="C387" s="45"/>
      <c r="D387" s="41"/>
      <c r="E387" s="40"/>
      <c r="F387" s="43"/>
      <c r="G387" s="45"/>
    </row>
    <row r="388" spans="1:7" s="446" customFormat="1" ht="12.75" customHeight="1">
      <c r="A388" s="41"/>
      <c r="B388" s="41"/>
      <c r="C388" s="45"/>
      <c r="D388" s="41"/>
      <c r="E388" s="40"/>
      <c r="F388" s="43"/>
      <c r="G388" s="45"/>
    </row>
    <row r="389" spans="1:7" s="446" customFormat="1" ht="12.75" customHeight="1">
      <c r="A389" s="41"/>
      <c r="B389" s="41"/>
      <c r="C389" s="45"/>
      <c r="D389" s="41"/>
      <c r="E389" s="40"/>
      <c r="F389" s="43"/>
      <c r="G389" s="45"/>
    </row>
    <row r="390" spans="1:7" s="446" customFormat="1" ht="12.75" customHeight="1">
      <c r="A390" s="41"/>
      <c r="B390" s="41"/>
      <c r="C390" s="45"/>
      <c r="D390" s="41"/>
      <c r="E390" s="40"/>
      <c r="F390" s="43"/>
      <c r="G390" s="43"/>
    </row>
    <row r="391" spans="1:7" s="446" customFormat="1" ht="12.75" customHeight="1">
      <c r="A391" s="41"/>
      <c r="B391" s="41"/>
      <c r="C391" s="45"/>
      <c r="D391" s="41"/>
      <c r="E391" s="40"/>
      <c r="F391" s="43"/>
      <c r="G391" s="43"/>
    </row>
    <row r="392" spans="1:7" s="446" customFormat="1" ht="12.75" customHeight="1">
      <c r="A392" s="41"/>
      <c r="B392" s="41"/>
      <c r="C392" s="45"/>
      <c r="D392" s="41"/>
      <c r="E392" s="40"/>
      <c r="F392" s="43"/>
      <c r="G392" s="43"/>
    </row>
    <row r="393" spans="1:7" s="446" customFormat="1" ht="12.75" customHeight="1">
      <c r="A393" s="41"/>
      <c r="B393" s="41"/>
      <c r="C393" s="45"/>
      <c r="D393" s="41"/>
      <c r="E393" s="40"/>
      <c r="F393" s="43"/>
      <c r="G393" s="43"/>
    </row>
    <row r="394" spans="1:7" s="446" customFormat="1" ht="12.75" customHeight="1">
      <c r="A394" s="41"/>
      <c r="B394" s="41"/>
      <c r="C394" s="45"/>
      <c r="D394" s="41"/>
      <c r="E394" s="40"/>
      <c r="F394" s="43"/>
      <c r="G394" s="43"/>
    </row>
    <row r="395" spans="1:7" ht="12.75" customHeight="1">
      <c r="A395" s="41" t="s">
        <v>29</v>
      </c>
      <c r="B395" s="41" t="s">
        <v>29</v>
      </c>
      <c r="C395" s="48"/>
      <c r="D395" s="41"/>
      <c r="E395" s="40"/>
      <c r="F395" s="43"/>
      <c r="G395" s="45"/>
    </row>
    <row r="396" spans="1:7" ht="12.75" customHeight="1">
      <c r="A396" s="40"/>
      <c r="B396" s="40"/>
      <c r="C396" s="43"/>
      <c r="D396" s="40"/>
      <c r="E396" s="40"/>
      <c r="F396" s="43"/>
      <c r="G396" s="85"/>
    </row>
    <row r="397" spans="1:7" ht="13">
      <c r="A397" s="47"/>
      <c r="B397" s="47"/>
      <c r="C397" s="86"/>
      <c r="D397" s="47"/>
      <c r="E397" s="47"/>
      <c r="F397" s="47"/>
      <c r="G397" s="57"/>
    </row>
    <row r="398" spans="1:7" s="446" customFormat="1" ht="13">
      <c r="A398" s="47"/>
      <c r="B398" s="47"/>
      <c r="C398" s="86"/>
      <c r="D398" s="47"/>
      <c r="E398" s="47"/>
      <c r="F398" s="47"/>
      <c r="G398" s="57"/>
    </row>
    <row r="399" spans="1:7" s="446" customFormat="1" ht="13">
      <c r="A399" s="47"/>
      <c r="B399" s="47"/>
      <c r="C399" s="86"/>
      <c r="D399" s="47"/>
      <c r="E399" s="47"/>
      <c r="F399" s="47"/>
      <c r="G399" s="57"/>
    </row>
    <row r="400" spans="1:7" ht="12.75" customHeight="1">
      <c r="A400" s="47"/>
      <c r="B400" s="47"/>
      <c r="C400" s="86"/>
      <c r="D400" s="47"/>
      <c r="E400" s="47"/>
      <c r="F400" s="47"/>
      <c r="G400" s="57"/>
    </row>
    <row r="401" spans="1:7" s="446" customFormat="1" ht="12.75" customHeight="1">
      <c r="A401" s="488"/>
      <c r="B401" s="488"/>
      <c r="C401" s="489"/>
      <c r="D401" s="488"/>
      <c r="E401" s="488"/>
      <c r="F401" s="488"/>
      <c r="G401" s="490"/>
    </row>
    <row r="402" spans="1:7" ht="12.75" customHeight="1">
      <c r="A402" s="67"/>
      <c r="B402" s="67"/>
      <c r="C402" s="87"/>
      <c r="D402" s="67"/>
      <c r="E402" s="67"/>
      <c r="F402" s="67"/>
      <c r="G402" s="88"/>
    </row>
    <row r="403" spans="1:7" ht="12.75" customHeight="1">
      <c r="A403" s="450" t="s">
        <v>16</v>
      </c>
      <c r="B403" s="451"/>
      <c r="C403" s="451"/>
      <c r="D403" s="89"/>
      <c r="E403" s="89"/>
      <c r="F403" s="90"/>
      <c r="G403" s="91">
        <f>SUM(G336:G400)</f>
        <v>0</v>
      </c>
    </row>
    <row r="404" spans="1:7" ht="12.75" customHeight="1">
      <c r="A404" s="458" t="s">
        <v>67</v>
      </c>
      <c r="B404" s="459"/>
      <c r="C404" s="459"/>
      <c r="D404" s="92"/>
      <c r="E404" s="92"/>
      <c r="F404" s="93"/>
      <c r="G404" s="94">
        <f>G403</f>
        <v>0</v>
      </c>
    </row>
    <row r="405" spans="1:7" s="446" customFormat="1" ht="12.75" customHeight="1">
      <c r="A405" s="483"/>
      <c r="B405" s="484"/>
      <c r="C405" s="484"/>
      <c r="D405" s="485"/>
      <c r="E405" s="485"/>
      <c r="F405" s="486"/>
      <c r="G405" s="487"/>
    </row>
    <row r="406" spans="1:7" s="446" customFormat="1" ht="12.75" customHeight="1">
      <c r="A406" s="483"/>
      <c r="B406" s="484"/>
      <c r="C406" s="484"/>
      <c r="D406" s="485"/>
      <c r="E406" s="485"/>
      <c r="F406" s="486"/>
      <c r="G406" s="487"/>
    </row>
    <row r="407" spans="1:7" ht="12.5" customHeight="1">
      <c r="A407" s="40"/>
      <c r="B407" s="41" t="s">
        <v>29</v>
      </c>
      <c r="C407" s="45" t="s">
        <v>143</v>
      </c>
      <c r="D407" s="41" t="s">
        <v>29</v>
      </c>
      <c r="E407" s="41" t="s">
        <v>29</v>
      </c>
      <c r="F407" s="45" t="s">
        <v>29</v>
      </c>
      <c r="G407" s="45" t="s">
        <v>29</v>
      </c>
    </row>
    <row r="408" spans="1:7" ht="12.75" customHeight="1">
      <c r="A408" s="40"/>
      <c r="B408" s="41" t="s">
        <v>29</v>
      </c>
      <c r="C408" s="45" t="s">
        <v>29</v>
      </c>
      <c r="D408" s="41" t="s">
        <v>116</v>
      </c>
      <c r="E408" s="40"/>
      <c r="F408" s="43"/>
      <c r="G408" s="45" t="s">
        <v>54</v>
      </c>
    </row>
    <row r="409" spans="1:7" ht="12.75" customHeight="1">
      <c r="A409" s="40"/>
      <c r="B409" s="41" t="s">
        <v>29</v>
      </c>
      <c r="C409" s="45" t="s">
        <v>144</v>
      </c>
      <c r="D409" s="41" t="s">
        <v>29</v>
      </c>
      <c r="E409" s="40"/>
      <c r="F409" s="43"/>
      <c r="G409" s="43"/>
    </row>
    <row r="410" spans="1:7" ht="12.75" customHeight="1">
      <c r="A410" s="40"/>
      <c r="B410" s="43"/>
      <c r="C410" s="48"/>
      <c r="D410" s="41" t="s">
        <v>116</v>
      </c>
      <c r="E410" s="40"/>
      <c r="F410" s="43"/>
      <c r="G410" s="45" t="s">
        <v>54</v>
      </c>
    </row>
    <row r="411" spans="1:7" ht="12.75" customHeight="1">
      <c r="A411" s="47"/>
      <c r="B411" s="48"/>
      <c r="C411" s="48"/>
      <c r="D411" s="47"/>
      <c r="E411" s="48"/>
      <c r="F411" s="43"/>
      <c r="G411" s="43"/>
    </row>
    <row r="412" spans="1:7" ht="12.75" customHeight="1">
      <c r="A412" s="40"/>
      <c r="B412" s="41" t="s">
        <v>29</v>
      </c>
      <c r="C412" s="45" t="s">
        <v>145</v>
      </c>
      <c r="D412" s="41" t="s">
        <v>29</v>
      </c>
      <c r="E412" s="40"/>
      <c r="F412" s="43"/>
      <c r="G412" s="43"/>
    </row>
    <row r="413" spans="1:7" ht="12.75" customHeight="1">
      <c r="A413" s="40"/>
      <c r="B413" s="41" t="s">
        <v>29</v>
      </c>
      <c r="C413" s="45" t="s">
        <v>146</v>
      </c>
      <c r="D413" s="40"/>
      <c r="E413" s="40"/>
      <c r="F413" s="43"/>
      <c r="G413" s="43"/>
    </row>
    <row r="414" spans="1:7" ht="12.75" customHeight="1">
      <c r="A414" s="40"/>
      <c r="B414" s="41" t="s">
        <v>29</v>
      </c>
      <c r="C414" s="45" t="s">
        <v>147</v>
      </c>
      <c r="D414" s="41" t="s">
        <v>29</v>
      </c>
      <c r="E414" s="40"/>
      <c r="F414" s="43"/>
      <c r="G414" s="43"/>
    </row>
    <row r="415" spans="1:7" ht="12.75" customHeight="1">
      <c r="A415" s="40"/>
      <c r="B415" s="41" t="s">
        <v>29</v>
      </c>
      <c r="C415" s="45" t="s">
        <v>29</v>
      </c>
      <c r="D415" s="41" t="s">
        <v>116</v>
      </c>
      <c r="E415" s="40"/>
      <c r="F415" s="43"/>
      <c r="G415" s="45" t="s">
        <v>54</v>
      </c>
    </row>
    <row r="416" spans="1:7" ht="12.75" customHeight="1">
      <c r="A416" s="40"/>
      <c r="B416" s="41" t="s">
        <v>29</v>
      </c>
      <c r="C416" s="45" t="s">
        <v>148</v>
      </c>
      <c r="D416" s="41" t="s">
        <v>29</v>
      </c>
      <c r="E416" s="40"/>
      <c r="F416" s="43"/>
      <c r="G416" s="43"/>
    </row>
    <row r="417" spans="1:7" ht="12.75" customHeight="1">
      <c r="A417" s="40"/>
      <c r="B417" s="43"/>
      <c r="C417" s="43"/>
      <c r="D417" s="41" t="s">
        <v>116</v>
      </c>
      <c r="E417" s="40"/>
      <c r="F417" s="43"/>
      <c r="G417" s="45" t="s">
        <v>54</v>
      </c>
    </row>
    <row r="418" spans="1:7" ht="12.75" customHeight="1">
      <c r="A418" s="40"/>
      <c r="B418" s="43"/>
      <c r="C418" s="45" t="s">
        <v>149</v>
      </c>
      <c r="D418" s="40"/>
      <c r="E418" s="40"/>
      <c r="F418" s="43"/>
      <c r="G418" s="43"/>
    </row>
    <row r="419" spans="1:7" ht="12.75" customHeight="1">
      <c r="A419" s="40"/>
      <c r="B419" s="43"/>
      <c r="C419" s="48"/>
      <c r="D419" s="41" t="s">
        <v>116</v>
      </c>
      <c r="E419" s="40"/>
      <c r="F419" s="43"/>
      <c r="G419" s="45" t="s">
        <v>54</v>
      </c>
    </row>
    <row r="420" spans="1:7" ht="12.75" customHeight="1">
      <c r="A420" s="40"/>
      <c r="B420" s="41" t="s">
        <v>29</v>
      </c>
      <c r="C420" s="45" t="s">
        <v>150</v>
      </c>
      <c r="D420" s="41" t="s">
        <v>29</v>
      </c>
      <c r="E420" s="40"/>
      <c r="F420" s="43"/>
      <c r="G420" s="43"/>
    </row>
    <row r="421" spans="1:7" ht="12.75" customHeight="1">
      <c r="A421" s="40"/>
      <c r="B421" s="43"/>
      <c r="C421" s="48"/>
      <c r="D421" s="41" t="s">
        <v>116</v>
      </c>
      <c r="E421" s="40"/>
      <c r="F421" s="43"/>
      <c r="G421" s="45" t="s">
        <v>54</v>
      </c>
    </row>
    <row r="422" spans="1:7" ht="12.75" customHeight="1">
      <c r="A422" s="47"/>
      <c r="B422" s="48"/>
      <c r="C422" s="48"/>
      <c r="D422" s="47"/>
      <c r="E422" s="47"/>
      <c r="F422" s="43"/>
      <c r="G422" s="85"/>
    </row>
    <row r="423" spans="1:7" ht="12.75" customHeight="1">
      <c r="A423" s="40"/>
      <c r="B423" s="41" t="s">
        <v>29</v>
      </c>
      <c r="C423" s="45" t="s">
        <v>151</v>
      </c>
      <c r="D423" s="41" t="s">
        <v>29</v>
      </c>
      <c r="E423" s="40"/>
      <c r="F423" s="43"/>
      <c r="G423" s="43"/>
    </row>
    <row r="424" spans="1:7" ht="12.75" customHeight="1">
      <c r="A424" s="40"/>
      <c r="B424" s="41" t="s">
        <v>29</v>
      </c>
      <c r="C424" s="45" t="s">
        <v>152</v>
      </c>
      <c r="D424" s="41" t="s">
        <v>29</v>
      </c>
      <c r="E424" s="40"/>
      <c r="F424" s="43"/>
      <c r="G424" s="85"/>
    </row>
    <row r="425" spans="1:7" ht="12.75" customHeight="1">
      <c r="A425" s="40"/>
      <c r="B425" s="41" t="s">
        <v>29</v>
      </c>
      <c r="C425" s="45" t="s">
        <v>153</v>
      </c>
      <c r="D425" s="41" t="s">
        <v>29</v>
      </c>
      <c r="E425" s="40"/>
      <c r="F425" s="43"/>
      <c r="G425" s="43"/>
    </row>
    <row r="426" spans="1:7" ht="12.75" customHeight="1">
      <c r="A426" s="40"/>
      <c r="B426" s="41" t="s">
        <v>29</v>
      </c>
      <c r="C426" s="45" t="s">
        <v>29</v>
      </c>
      <c r="D426" s="41" t="s">
        <v>116</v>
      </c>
      <c r="E426" s="40"/>
      <c r="F426" s="43"/>
      <c r="G426" s="45" t="s">
        <v>54</v>
      </c>
    </row>
    <row r="427" spans="1:7" ht="12.75" customHeight="1">
      <c r="A427" s="40"/>
      <c r="B427" s="41" t="s">
        <v>29</v>
      </c>
      <c r="C427" s="45" t="s">
        <v>154</v>
      </c>
      <c r="D427" s="41" t="s">
        <v>29</v>
      </c>
      <c r="E427" s="40"/>
      <c r="F427" s="43"/>
      <c r="G427" s="43"/>
    </row>
    <row r="428" spans="1:7" ht="12.75" customHeight="1">
      <c r="A428" s="40"/>
      <c r="B428" s="41" t="s">
        <v>29</v>
      </c>
      <c r="C428" s="45" t="s">
        <v>29</v>
      </c>
      <c r="D428" s="41" t="s">
        <v>116</v>
      </c>
      <c r="E428" s="40"/>
      <c r="F428" s="43"/>
      <c r="G428" s="45" t="s">
        <v>54</v>
      </c>
    </row>
    <row r="429" spans="1:7" ht="12.75" customHeight="1">
      <c r="A429" s="40"/>
      <c r="B429" s="41" t="s">
        <v>29</v>
      </c>
      <c r="C429" s="45" t="s">
        <v>155</v>
      </c>
      <c r="D429" s="41" t="s">
        <v>29</v>
      </c>
      <c r="E429" s="40"/>
      <c r="F429" s="43"/>
      <c r="G429" s="43"/>
    </row>
    <row r="430" spans="1:7" ht="12.75" customHeight="1">
      <c r="A430" s="40"/>
      <c r="B430" s="41" t="s">
        <v>29</v>
      </c>
      <c r="C430" s="48"/>
      <c r="D430" s="41" t="s">
        <v>116</v>
      </c>
      <c r="E430" s="40"/>
      <c r="F430" s="43"/>
      <c r="G430" s="45" t="s">
        <v>54</v>
      </c>
    </row>
    <row r="431" spans="1:7" ht="12.75" customHeight="1">
      <c r="A431" s="40"/>
      <c r="B431" s="41" t="s">
        <v>29</v>
      </c>
      <c r="C431" s="43"/>
      <c r="D431" s="47"/>
      <c r="E431" s="47"/>
      <c r="F431" s="43"/>
      <c r="G431" s="43"/>
    </row>
    <row r="432" spans="1:7" ht="12.75" customHeight="1">
      <c r="A432" s="40"/>
      <c r="B432" s="41" t="s">
        <v>29</v>
      </c>
      <c r="C432" s="45" t="s">
        <v>156</v>
      </c>
      <c r="D432" s="41" t="s">
        <v>29</v>
      </c>
      <c r="E432" s="40"/>
      <c r="F432" s="43"/>
      <c r="G432" s="43"/>
    </row>
    <row r="433" spans="1:7" ht="12.75" customHeight="1">
      <c r="A433" s="40"/>
      <c r="B433" s="41" t="s">
        <v>29</v>
      </c>
      <c r="C433" s="45" t="s">
        <v>157</v>
      </c>
      <c r="D433" s="41" t="s">
        <v>29</v>
      </c>
      <c r="E433" s="40"/>
      <c r="F433" s="43"/>
      <c r="G433" s="43"/>
    </row>
    <row r="434" spans="1:7" ht="12.75" customHeight="1">
      <c r="A434" s="40"/>
      <c r="B434" s="41" t="s">
        <v>29</v>
      </c>
      <c r="C434" s="45" t="s">
        <v>153</v>
      </c>
      <c r="D434" s="41" t="s">
        <v>29</v>
      </c>
      <c r="E434" s="40"/>
      <c r="F434" s="43"/>
      <c r="G434" s="43"/>
    </row>
    <row r="435" spans="1:7" ht="12.75" customHeight="1">
      <c r="A435" s="40"/>
      <c r="B435" s="41" t="s">
        <v>29</v>
      </c>
      <c r="C435" s="45" t="s">
        <v>29</v>
      </c>
      <c r="D435" s="41" t="s">
        <v>116</v>
      </c>
      <c r="E435" s="40"/>
      <c r="F435" s="43"/>
      <c r="G435" s="45" t="s">
        <v>54</v>
      </c>
    </row>
    <row r="436" spans="1:7" ht="12.75" customHeight="1">
      <c r="A436" s="41" t="s">
        <v>29</v>
      </c>
      <c r="B436" s="41" t="s">
        <v>29</v>
      </c>
      <c r="C436" s="45" t="s">
        <v>154</v>
      </c>
      <c r="D436" s="41" t="s">
        <v>29</v>
      </c>
      <c r="E436" s="40"/>
      <c r="F436" s="43"/>
      <c r="G436" s="43"/>
    </row>
    <row r="437" spans="1:7" ht="12.75" customHeight="1">
      <c r="A437" s="41" t="s">
        <v>29</v>
      </c>
      <c r="B437" s="41" t="s">
        <v>29</v>
      </c>
      <c r="C437" s="45" t="s">
        <v>29</v>
      </c>
      <c r="D437" s="41" t="s">
        <v>116</v>
      </c>
      <c r="E437" s="40"/>
      <c r="F437" s="43"/>
      <c r="G437" s="45" t="s">
        <v>54</v>
      </c>
    </row>
    <row r="438" spans="1:7" ht="12.75" customHeight="1">
      <c r="A438" s="41" t="s">
        <v>29</v>
      </c>
      <c r="B438" s="41" t="s">
        <v>29</v>
      </c>
      <c r="C438" s="45" t="s">
        <v>155</v>
      </c>
      <c r="D438" s="41" t="s">
        <v>29</v>
      </c>
      <c r="E438" s="40"/>
      <c r="F438" s="43"/>
      <c r="G438" s="43"/>
    </row>
    <row r="439" spans="1:7" ht="12.5" customHeight="1">
      <c r="A439" s="41" t="s">
        <v>29</v>
      </c>
      <c r="B439" s="41" t="s">
        <v>29</v>
      </c>
      <c r="C439" s="48"/>
      <c r="D439" s="41" t="s">
        <v>116</v>
      </c>
      <c r="E439" s="40"/>
      <c r="F439" s="43"/>
      <c r="G439" s="45" t="s">
        <v>54</v>
      </c>
    </row>
    <row r="440" spans="1:7" s="446" customFormat="1" ht="12.5" customHeight="1">
      <c r="A440" s="41"/>
      <c r="B440" s="41"/>
      <c r="C440" s="48"/>
      <c r="D440" s="41"/>
      <c r="E440" s="40"/>
      <c r="F440" s="43"/>
      <c r="G440" s="45"/>
    </row>
    <row r="441" spans="1:7" s="446" customFormat="1" ht="12.5" customHeight="1">
      <c r="A441" s="41"/>
      <c r="B441" s="41"/>
      <c r="C441" s="48"/>
      <c r="D441" s="41"/>
      <c r="E441" s="40"/>
      <c r="F441" s="43"/>
      <c r="G441" s="45"/>
    </row>
    <row r="442" spans="1:7" s="446" customFormat="1" ht="12.5" customHeight="1">
      <c r="A442" s="41"/>
      <c r="B442" s="41"/>
      <c r="C442" s="48"/>
      <c r="D442" s="41"/>
      <c r="E442" s="40"/>
      <c r="F442" s="43"/>
      <c r="G442" s="45"/>
    </row>
    <row r="443" spans="1:7" s="446" customFormat="1" ht="12.5" customHeight="1">
      <c r="A443" s="41"/>
      <c r="B443" s="41"/>
      <c r="C443" s="48"/>
      <c r="D443" s="41"/>
      <c r="E443" s="40"/>
      <c r="F443" s="43"/>
      <c r="G443" s="45"/>
    </row>
    <row r="444" spans="1:7" s="446" customFormat="1" ht="12.5" customHeight="1">
      <c r="A444" s="41"/>
      <c r="B444" s="41"/>
      <c r="C444" s="48"/>
      <c r="D444" s="41"/>
      <c r="E444" s="40"/>
      <c r="F444" s="43"/>
      <c r="G444" s="45"/>
    </row>
    <row r="445" spans="1:7" s="446" customFormat="1" ht="12.5" customHeight="1">
      <c r="A445" s="41"/>
      <c r="B445" s="41"/>
      <c r="C445" s="48"/>
      <c r="D445" s="41"/>
      <c r="E445" s="40"/>
      <c r="F445" s="43"/>
      <c r="G445" s="45"/>
    </row>
    <row r="446" spans="1:7" s="446" customFormat="1" ht="12.5" customHeight="1">
      <c r="A446" s="41"/>
      <c r="B446" s="41"/>
      <c r="C446" s="48"/>
      <c r="D446" s="41"/>
      <c r="E446" s="40"/>
      <c r="F446" s="43"/>
      <c r="G446" s="45"/>
    </row>
    <row r="447" spans="1:7" s="446" customFormat="1" ht="12.5" customHeight="1">
      <c r="A447" s="41"/>
      <c r="B447" s="41"/>
      <c r="C447" s="48"/>
      <c r="D447" s="41"/>
      <c r="E447" s="40"/>
      <c r="F447" s="43"/>
      <c r="G447" s="45"/>
    </row>
    <row r="448" spans="1:7" s="446" customFormat="1" ht="12.5" customHeight="1">
      <c r="A448" s="41"/>
      <c r="B448" s="41"/>
      <c r="C448" s="48"/>
      <c r="D448" s="41"/>
      <c r="E448" s="40"/>
      <c r="F448" s="43"/>
      <c r="G448" s="45"/>
    </row>
    <row r="449" spans="1:7" s="446" customFormat="1" ht="12.5" customHeight="1">
      <c r="A449" s="41"/>
      <c r="B449" s="41"/>
      <c r="C449" s="48"/>
      <c r="D449" s="41"/>
      <c r="E449" s="40"/>
      <c r="F449" s="43"/>
      <c r="G449" s="45"/>
    </row>
    <row r="450" spans="1:7" s="446" customFormat="1" ht="12.5" customHeight="1">
      <c r="A450" s="41"/>
      <c r="B450" s="41"/>
      <c r="C450" s="48"/>
      <c r="D450" s="41"/>
      <c r="E450" s="40"/>
      <c r="F450" s="43"/>
      <c r="G450" s="45"/>
    </row>
    <row r="451" spans="1:7" s="446" customFormat="1" ht="12.5" customHeight="1">
      <c r="A451" s="41"/>
      <c r="B451" s="41"/>
      <c r="C451" s="48"/>
      <c r="D451" s="41"/>
      <c r="E451" s="40"/>
      <c r="F451" s="43"/>
      <c r="G451" s="45"/>
    </row>
    <row r="452" spans="1:7" s="446" customFormat="1" ht="12.5" customHeight="1">
      <c r="A452" s="41"/>
      <c r="B452" s="41"/>
      <c r="C452" s="48"/>
      <c r="D452" s="41"/>
      <c r="E452" s="40"/>
      <c r="F452" s="43"/>
      <c r="G452" s="45"/>
    </row>
    <row r="453" spans="1:7" s="446" customFormat="1" ht="12.5" customHeight="1">
      <c r="A453" s="41"/>
      <c r="B453" s="41"/>
      <c r="C453" s="48"/>
      <c r="D453" s="41"/>
      <c r="E453" s="40"/>
      <c r="F453" s="43"/>
      <c r="G453" s="45"/>
    </row>
    <row r="454" spans="1:7" s="446" customFormat="1" ht="12.5" customHeight="1">
      <c r="A454" s="41"/>
      <c r="B454" s="41"/>
      <c r="C454" s="48"/>
      <c r="D454" s="41"/>
      <c r="E454" s="40"/>
      <c r="F454" s="43"/>
      <c r="G454" s="45"/>
    </row>
    <row r="455" spans="1:7" s="446" customFormat="1" ht="12.5" customHeight="1">
      <c r="A455" s="41"/>
      <c r="B455" s="41"/>
      <c r="C455" s="48"/>
      <c r="D455" s="41"/>
      <c r="E455" s="40"/>
      <c r="F455" s="43"/>
      <c r="G455" s="45"/>
    </row>
    <row r="456" spans="1:7" s="446" customFormat="1" ht="12.5" customHeight="1">
      <c r="A456" s="41"/>
      <c r="B456" s="41"/>
      <c r="C456" s="48"/>
      <c r="D456" s="41"/>
      <c r="E456" s="40"/>
      <c r="F456" s="43"/>
      <c r="G456" s="45"/>
    </row>
    <row r="457" spans="1:7" s="446" customFormat="1" ht="12.5" customHeight="1">
      <c r="A457" s="41"/>
      <c r="B457" s="41"/>
      <c r="C457" s="48"/>
      <c r="D457" s="41"/>
      <c r="E457" s="40"/>
      <c r="F457" s="43"/>
      <c r="G457" s="45"/>
    </row>
    <row r="458" spans="1:7" s="446" customFormat="1" ht="12.5" customHeight="1">
      <c r="A458" s="41"/>
      <c r="B458" s="41"/>
      <c r="C458" s="48"/>
      <c r="D458" s="41"/>
      <c r="E458" s="40"/>
      <c r="F458" s="43"/>
      <c r="G458" s="45"/>
    </row>
    <row r="459" spans="1:7" s="446" customFormat="1" ht="12.5" customHeight="1">
      <c r="A459" s="41"/>
      <c r="B459" s="41"/>
      <c r="C459" s="48"/>
      <c r="D459" s="41"/>
      <c r="E459" s="40"/>
      <c r="F459" s="43"/>
      <c r="G459" s="45"/>
    </row>
    <row r="460" spans="1:7" s="446" customFormat="1" ht="12.5" customHeight="1">
      <c r="A460" s="41"/>
      <c r="B460" s="41"/>
      <c r="C460" s="48"/>
      <c r="D460" s="41"/>
      <c r="E460" s="40"/>
      <c r="F460" s="43"/>
      <c r="G460" s="45"/>
    </row>
    <row r="461" spans="1:7" s="446" customFormat="1" ht="12.5" customHeight="1">
      <c r="A461" s="41"/>
      <c r="B461" s="41"/>
      <c r="C461" s="48"/>
      <c r="D461" s="41"/>
      <c r="E461" s="40"/>
      <c r="F461" s="43"/>
      <c r="G461" s="45"/>
    </row>
    <row r="462" spans="1:7" s="446" customFormat="1" ht="12.5" customHeight="1">
      <c r="A462" s="41"/>
      <c r="B462" s="41"/>
      <c r="C462" s="48"/>
      <c r="D462" s="41"/>
      <c r="E462" s="40"/>
      <c r="F462" s="43"/>
      <c r="G462" s="45"/>
    </row>
    <row r="463" spans="1:7" s="446" customFormat="1" ht="12.5" customHeight="1">
      <c r="A463" s="41"/>
      <c r="B463" s="41"/>
      <c r="C463" s="48"/>
      <c r="D463" s="41"/>
      <c r="E463" s="40"/>
      <c r="F463" s="43"/>
      <c r="G463" s="45"/>
    </row>
    <row r="464" spans="1:7" s="446" customFormat="1" ht="12.5" customHeight="1">
      <c r="A464" s="41"/>
      <c r="B464" s="41"/>
      <c r="C464" s="48"/>
      <c r="D464" s="41"/>
      <c r="E464" s="40"/>
      <c r="F464" s="43"/>
      <c r="G464" s="45"/>
    </row>
    <row r="465" spans="1:7" s="446" customFormat="1" ht="12.5" customHeight="1">
      <c r="A465" s="41"/>
      <c r="B465" s="41"/>
      <c r="C465" s="48"/>
      <c r="D465" s="41"/>
      <c r="E465" s="40"/>
      <c r="F465" s="43"/>
      <c r="G465" s="45"/>
    </row>
    <row r="466" spans="1:7" s="446" customFormat="1" ht="12.5" customHeight="1">
      <c r="A466" s="41"/>
      <c r="B466" s="41"/>
      <c r="C466" s="48"/>
      <c r="D466" s="41"/>
      <c r="E466" s="40"/>
      <c r="F466" s="43"/>
      <c r="G466" s="45"/>
    </row>
    <row r="467" spans="1:7" s="446" customFormat="1" ht="12.5" customHeight="1">
      <c r="A467" s="41"/>
      <c r="B467" s="41"/>
      <c r="C467" s="48"/>
      <c r="D467" s="41"/>
      <c r="E467" s="40"/>
      <c r="F467" s="43"/>
      <c r="G467" s="45"/>
    </row>
    <row r="468" spans="1:7" s="446" customFormat="1" ht="12.5" customHeight="1">
      <c r="A468" s="41"/>
      <c r="B468" s="41"/>
      <c r="C468" s="48"/>
      <c r="D468" s="41"/>
      <c r="E468" s="40"/>
      <c r="F468" s="43"/>
      <c r="G468" s="45"/>
    </row>
    <row r="469" spans="1:7" s="446" customFormat="1" ht="12.5" customHeight="1">
      <c r="A469" s="41"/>
      <c r="B469" s="41"/>
      <c r="C469" s="48"/>
      <c r="D469" s="41"/>
      <c r="E469" s="40"/>
      <c r="F469" s="43"/>
      <c r="G469" s="45"/>
    </row>
    <row r="470" spans="1:7" s="446" customFormat="1" ht="12.5" customHeight="1">
      <c r="A470" s="41"/>
      <c r="B470" s="41"/>
      <c r="C470" s="48"/>
      <c r="D470" s="41"/>
      <c r="E470" s="40"/>
      <c r="F470" s="43"/>
      <c r="G470" s="45"/>
    </row>
    <row r="471" spans="1:7" ht="12.75" customHeight="1">
      <c r="A471" s="40"/>
      <c r="B471" s="40"/>
      <c r="C471" s="43"/>
      <c r="D471" s="40"/>
      <c r="E471" s="40"/>
      <c r="F471" s="43"/>
      <c r="G471" s="85"/>
    </row>
    <row r="472" spans="1:7" ht="24" customHeight="1">
      <c r="A472" s="450" t="s">
        <v>16</v>
      </c>
      <c r="B472" s="451"/>
      <c r="C472" s="451"/>
      <c r="D472" s="89"/>
      <c r="E472" s="89"/>
      <c r="F472" s="90"/>
      <c r="G472" s="91">
        <f>SUM(G404:G471)</f>
        <v>0</v>
      </c>
    </row>
  </sheetData>
  <mergeCells count="14">
    <mergeCell ref="A472:C472"/>
    <mergeCell ref="A1:B2"/>
    <mergeCell ref="C2:G2"/>
    <mergeCell ref="F6:G6"/>
    <mergeCell ref="A67:F67"/>
    <mergeCell ref="A68:F68"/>
    <mergeCell ref="A132:F132"/>
    <mergeCell ref="A403:C403"/>
    <mergeCell ref="A133:F133"/>
    <mergeCell ref="A200:F200"/>
    <mergeCell ref="A201:F201"/>
    <mergeCell ref="A267:F267"/>
    <mergeCell ref="A268:F268"/>
    <mergeCell ref="A404:C404"/>
  </mergeCells>
  <conditionalFormatting sqref="E150 G277:G280 G285:G286 G288 G292 G294 G296 G300 G305 G307 G309 G314 G316:G332 G341 G343 G348 G350 G352 G354:G355 G357 G359 G361 G363 G368 G370 G395:G396 G408 G410 G415 G417 G419 G421:G422 G424 G426 G428 G430 G435 G437 E217:E263 G439:G471">
    <cfRule type="cellIs" dxfId="2" priority="2" stopIfTrue="1" operator="lessThan">
      <formula>0</formula>
    </cfRule>
  </conditionalFormatting>
  <conditionalFormatting sqref="G371:G389">
    <cfRule type="cellIs" dxfId="1" priority="1" stopIfTrue="1" operator="lessThan">
      <formula>0</formula>
    </cfRule>
  </conditionalFormatting>
  <pageMargins left="0.748031" right="0.748031" top="0.98425200000000002" bottom="0.98425200000000002" header="0.51181100000000002" footer="0.51181100000000002"/>
  <pageSetup scale="75" orientation="portrait" r:id="rId1"/>
  <headerFooter>
    <oddFooter>&amp;R&amp;"Helvetica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2"/>
  <sheetViews>
    <sheetView showGridLines="0" view="pageLayout" zoomScaleNormal="100" workbookViewId="0">
      <selection activeCell="C24" sqref="C24"/>
    </sheetView>
  </sheetViews>
  <sheetFormatPr defaultColWidth="12.453125" defaultRowHeight="12.75" customHeight="1"/>
  <cols>
    <col min="1" max="1" width="5.7265625" style="95" customWidth="1"/>
    <col min="2" max="2" width="12.7265625" style="95" customWidth="1"/>
    <col min="3" max="3" width="51" style="95" customWidth="1"/>
    <col min="4" max="4" width="8.7265625" style="95" customWidth="1"/>
    <col min="5" max="5" width="7.7265625" style="95" customWidth="1"/>
    <col min="6" max="7" width="12.7265625" style="95" customWidth="1"/>
    <col min="8" max="35" width="12.453125" style="95" hidden="1" customWidth="1"/>
    <col min="36" max="36" width="12.453125" style="95" customWidth="1"/>
    <col min="37" max="16384" width="12.453125" style="95"/>
  </cols>
  <sheetData>
    <row r="1" spans="1:35" ht="12.75" customHeight="1">
      <c r="A1" s="462" t="s">
        <v>158</v>
      </c>
      <c r="B1" s="452"/>
      <c r="C1" s="96"/>
      <c r="D1" s="96"/>
      <c r="E1" s="97"/>
      <c r="F1" s="96"/>
      <c r="G1" s="98">
        <f>F1</f>
        <v>0</v>
      </c>
      <c r="H1" s="28" t="s">
        <v>159</v>
      </c>
      <c r="I1" s="99"/>
      <c r="J1" s="100">
        <v>1</v>
      </c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ht="12.75" customHeight="1">
      <c r="A2" s="452"/>
      <c r="B2" s="452"/>
      <c r="C2" s="101"/>
      <c r="D2" s="101"/>
      <c r="E2" s="97"/>
      <c r="F2" s="101"/>
      <c r="G2" s="98"/>
      <c r="H2" s="28" t="s">
        <v>160</v>
      </c>
      <c r="I2" s="102" t="s">
        <v>161</v>
      </c>
      <c r="J2" s="103">
        <v>1</v>
      </c>
      <c r="K2" s="104" t="s">
        <v>162</v>
      </c>
      <c r="L2" s="105">
        <v>0.4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</row>
    <row r="3" spans="1:35" ht="12.75" customHeight="1">
      <c r="A3" s="106"/>
      <c r="B3" s="96"/>
      <c r="C3" s="101"/>
      <c r="D3" s="101"/>
      <c r="E3" s="97"/>
      <c r="F3" s="101"/>
      <c r="G3" s="107"/>
      <c r="H3" s="28" t="s">
        <v>163</v>
      </c>
      <c r="I3" s="102" t="s">
        <v>164</v>
      </c>
      <c r="J3" s="108">
        <v>5045.07</v>
      </c>
      <c r="K3" s="102" t="s">
        <v>165</v>
      </c>
      <c r="L3" s="105">
        <v>12</v>
      </c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</row>
    <row r="4" spans="1:35" ht="12.75" customHeight="1">
      <c r="A4" s="106"/>
      <c r="B4" s="96"/>
      <c r="C4" s="99"/>
      <c r="D4" s="109"/>
      <c r="E4" s="29" t="str">
        <f>C10</f>
        <v>SCHEDULE 2:</v>
      </c>
      <c r="F4" s="96"/>
      <c r="G4" s="110" t="str">
        <f>C11</f>
        <v>SITE CLEARANCE</v>
      </c>
      <c r="H4" s="28" t="s">
        <v>167</v>
      </c>
      <c r="I4" s="102" t="s">
        <v>168</v>
      </c>
      <c r="J4" s="111">
        <f>(0.1+0.3+0.3+0.3+0.1)</f>
        <v>1.1000000000000001</v>
      </c>
      <c r="K4" s="102" t="s">
        <v>169</v>
      </c>
      <c r="L4" s="111">
        <f>(0.1+0.4+0.1)</f>
        <v>0.6</v>
      </c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</row>
    <row r="5" spans="1:35" ht="12.75" customHeight="1">
      <c r="A5" s="106"/>
      <c r="B5" s="96"/>
      <c r="C5" s="96"/>
      <c r="D5" s="109"/>
      <c r="E5" s="112"/>
      <c r="F5" s="96"/>
      <c r="G5" s="113"/>
      <c r="H5" s="28" t="s">
        <v>170</v>
      </c>
      <c r="I5" s="103"/>
      <c r="J5" s="111"/>
      <c r="K5" s="102" t="s">
        <v>171</v>
      </c>
      <c r="L5" s="105">
        <v>1.5</v>
      </c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</row>
    <row r="6" spans="1:35" ht="12.75" customHeight="1">
      <c r="A6" s="114"/>
      <c r="B6" s="115"/>
      <c r="C6" s="115"/>
      <c r="D6" s="115"/>
      <c r="E6" s="116"/>
      <c r="F6" s="463"/>
      <c r="G6" s="463"/>
      <c r="H6" s="28" t="s">
        <v>172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</row>
    <row r="7" spans="1:35" ht="12.75" customHeight="1">
      <c r="A7" s="34"/>
      <c r="B7" s="35" t="s">
        <v>17</v>
      </c>
      <c r="C7" s="36"/>
      <c r="D7" s="34"/>
      <c r="E7" s="34"/>
      <c r="F7" s="35" t="s">
        <v>18</v>
      </c>
      <c r="G7" s="35" t="s">
        <v>19</v>
      </c>
      <c r="H7" s="118" t="s">
        <v>173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</row>
    <row r="8" spans="1:35" ht="12.75" customHeight="1">
      <c r="A8" s="37" t="s">
        <v>20</v>
      </c>
      <c r="B8" s="37" t="s">
        <v>21</v>
      </c>
      <c r="C8" s="37" t="s">
        <v>22</v>
      </c>
      <c r="D8" s="37" t="s">
        <v>23</v>
      </c>
      <c r="E8" s="37" t="s">
        <v>24</v>
      </c>
      <c r="F8" s="37" t="s">
        <v>25</v>
      </c>
      <c r="G8" s="37" t="s">
        <v>25</v>
      </c>
      <c r="H8" s="118" t="s">
        <v>174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</row>
    <row r="9" spans="1:35" ht="12.75" customHeight="1">
      <c r="A9" s="39"/>
      <c r="B9" s="39"/>
      <c r="C9" s="39"/>
      <c r="D9" s="38"/>
      <c r="E9" s="38"/>
      <c r="F9" s="39"/>
      <c r="G9" s="39"/>
      <c r="H9" s="119">
        <v>1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</row>
    <row r="10" spans="1:35" ht="12.75" customHeight="1">
      <c r="A10" s="40"/>
      <c r="B10" s="41" t="s">
        <v>26</v>
      </c>
      <c r="C10" s="42" t="s">
        <v>175</v>
      </c>
      <c r="D10" s="40"/>
      <c r="E10" s="40"/>
      <c r="F10" s="43"/>
      <c r="G10" s="85"/>
      <c r="H10" s="119">
        <v>2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</row>
    <row r="11" spans="1:35" ht="12.75" customHeight="1">
      <c r="A11" s="120">
        <v>2</v>
      </c>
      <c r="B11" s="53" t="s">
        <v>176</v>
      </c>
      <c r="C11" s="52" t="s">
        <v>166</v>
      </c>
      <c r="D11" s="47"/>
      <c r="E11" s="47"/>
      <c r="F11" s="43"/>
      <c r="G11" s="46"/>
      <c r="H11" s="119">
        <v>3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</row>
    <row r="12" spans="1:35" ht="12.75" customHeight="1">
      <c r="A12" s="40"/>
      <c r="B12" s="40"/>
      <c r="C12" s="43"/>
      <c r="D12" s="40"/>
      <c r="E12" s="40"/>
      <c r="F12" s="43"/>
      <c r="G12" s="46"/>
      <c r="H12" s="119">
        <v>5</v>
      </c>
      <c r="I12" s="103"/>
      <c r="J12" s="111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</row>
    <row r="13" spans="1:35" ht="12.75" customHeight="1">
      <c r="A13" s="44">
        <v>2.1</v>
      </c>
      <c r="B13" s="41" t="s">
        <v>177</v>
      </c>
      <c r="C13" s="45" t="s">
        <v>178</v>
      </c>
      <c r="D13" s="41" t="s">
        <v>179</v>
      </c>
      <c r="E13" s="73">
        <f>Summary!E22+Summary!E24+Summary!E26</f>
        <v>0</v>
      </c>
      <c r="F13" s="70"/>
      <c r="G13" s="46"/>
      <c r="H13" s="119">
        <v>6</v>
      </c>
      <c r="I13" s="103"/>
      <c r="J13" s="111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</row>
    <row r="14" spans="1:35" ht="12.75" customHeight="1">
      <c r="A14" s="40"/>
      <c r="B14" s="40"/>
      <c r="C14" s="43"/>
      <c r="D14" s="40"/>
      <c r="E14" s="40"/>
      <c r="F14" s="43"/>
      <c r="G14" s="46"/>
      <c r="H14" s="119">
        <v>7</v>
      </c>
      <c r="I14" s="103"/>
      <c r="J14" s="111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</row>
    <row r="15" spans="1:35" ht="12.75" customHeight="1">
      <c r="A15" s="44">
        <v>2.2000000000000002</v>
      </c>
      <c r="B15" s="41" t="s">
        <v>180</v>
      </c>
      <c r="C15" s="45" t="s">
        <v>181</v>
      </c>
      <c r="D15" s="40"/>
      <c r="E15" s="40"/>
      <c r="F15" s="43"/>
      <c r="G15" s="46"/>
      <c r="H15" s="119">
        <v>8</v>
      </c>
      <c r="I15" s="103"/>
      <c r="J15" s="111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6" spans="1:35" ht="12.75" customHeight="1">
      <c r="A16" s="40"/>
      <c r="B16" s="40"/>
      <c r="C16" s="43"/>
      <c r="D16" s="40"/>
      <c r="E16" s="40"/>
      <c r="F16" s="70"/>
      <c r="G16" s="46"/>
      <c r="H16" s="119">
        <v>9</v>
      </c>
      <c r="I16" s="103"/>
      <c r="J16" s="111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</row>
    <row r="17" spans="1:35" ht="12.75" customHeight="1">
      <c r="A17" s="40"/>
      <c r="B17" s="40"/>
      <c r="C17" s="45" t="s">
        <v>182</v>
      </c>
      <c r="D17" s="41" t="s">
        <v>41</v>
      </c>
      <c r="E17" s="44">
        <v>5</v>
      </c>
      <c r="F17" s="70"/>
      <c r="G17" s="46"/>
      <c r="H17" s="119">
        <v>10</v>
      </c>
      <c r="I17" s="25"/>
      <c r="J17" s="121"/>
      <c r="K17" s="122"/>
      <c r="L17" s="123"/>
      <c r="M17" s="124"/>
      <c r="N17" s="125"/>
      <c r="O17" s="126"/>
      <c r="P17" s="66"/>
      <c r="Q17" s="127"/>
      <c r="R17" s="40"/>
      <c r="S17" s="128"/>
      <c r="T17" s="129"/>
      <c r="U17" s="73"/>
      <c r="V17" s="66"/>
      <c r="W17" s="66"/>
      <c r="X17" s="127"/>
      <c r="Y17" s="40"/>
      <c r="Z17" s="128"/>
      <c r="AA17" s="129"/>
      <c r="AB17" s="73"/>
      <c r="AC17" s="66"/>
      <c r="AD17" s="66"/>
      <c r="AE17" s="127"/>
      <c r="AF17" s="40"/>
      <c r="AG17" s="128"/>
      <c r="AH17" s="129"/>
      <c r="AI17" s="73"/>
    </row>
    <row r="18" spans="1:35" ht="12.75" customHeight="1">
      <c r="A18" s="40"/>
      <c r="B18" s="40"/>
      <c r="C18" s="43"/>
      <c r="D18" s="130"/>
      <c r="E18" s="40"/>
      <c r="F18" s="43"/>
      <c r="G18" s="46"/>
      <c r="H18" s="119">
        <v>11</v>
      </c>
      <c r="I18" s="25"/>
      <c r="J18" s="121"/>
      <c r="K18" s="122"/>
      <c r="L18" s="123"/>
      <c r="M18" s="124"/>
      <c r="N18" s="125"/>
      <c r="O18" s="126"/>
      <c r="P18" s="66"/>
      <c r="Q18" s="127"/>
      <c r="R18" s="40"/>
      <c r="S18" s="128"/>
      <c r="T18" s="129"/>
      <c r="U18" s="73"/>
      <c r="V18" s="66"/>
      <c r="W18" s="66"/>
      <c r="X18" s="127"/>
      <c r="Y18" s="40"/>
      <c r="Z18" s="128"/>
      <c r="AA18" s="129"/>
      <c r="AB18" s="73"/>
      <c r="AC18" s="66"/>
      <c r="AD18" s="66"/>
      <c r="AE18" s="127"/>
      <c r="AF18" s="40"/>
      <c r="AG18" s="128"/>
      <c r="AH18" s="129"/>
      <c r="AI18" s="73"/>
    </row>
    <row r="19" spans="1:35" ht="12.75" customHeight="1">
      <c r="A19" s="40"/>
      <c r="B19" s="40"/>
      <c r="C19" s="45" t="s">
        <v>183</v>
      </c>
      <c r="D19" s="41" t="s">
        <v>41</v>
      </c>
      <c r="E19" s="44">
        <v>5</v>
      </c>
      <c r="F19" s="70"/>
      <c r="G19" s="46"/>
      <c r="H19" s="119">
        <v>12</v>
      </c>
      <c r="I19" s="25"/>
      <c r="J19" s="121"/>
      <c r="K19" s="122"/>
      <c r="L19" s="123"/>
      <c r="M19" s="124"/>
      <c r="N19" s="125"/>
      <c r="O19" s="126"/>
      <c r="P19" s="66"/>
      <c r="Q19" s="127"/>
      <c r="R19" s="40"/>
      <c r="S19" s="128"/>
      <c r="T19" s="129"/>
      <c r="U19" s="73"/>
      <c r="V19" s="66"/>
      <c r="W19" s="66"/>
      <c r="X19" s="127"/>
      <c r="Y19" s="40"/>
      <c r="Z19" s="128"/>
      <c r="AA19" s="129"/>
      <c r="AB19" s="73"/>
      <c r="AC19" s="66"/>
      <c r="AD19" s="66"/>
      <c r="AE19" s="127"/>
      <c r="AF19" s="40"/>
      <c r="AG19" s="128"/>
      <c r="AH19" s="129"/>
      <c r="AI19" s="73"/>
    </row>
    <row r="20" spans="1:35" s="446" customFormat="1" ht="12.75" customHeight="1">
      <c r="A20" s="40"/>
      <c r="B20" s="40"/>
      <c r="C20" s="45"/>
      <c r="D20" s="41"/>
      <c r="E20" s="44"/>
      <c r="F20" s="70"/>
      <c r="G20" s="46"/>
      <c r="H20" s="119"/>
      <c r="I20" s="25"/>
      <c r="J20" s="121"/>
      <c r="K20" s="122"/>
      <c r="L20" s="123"/>
      <c r="M20" s="124"/>
      <c r="N20" s="125"/>
      <c r="O20" s="126"/>
      <c r="P20" s="66"/>
      <c r="Q20" s="127"/>
      <c r="R20" s="40"/>
      <c r="S20" s="128"/>
      <c r="T20" s="129"/>
      <c r="U20" s="73"/>
      <c r="V20" s="66"/>
      <c r="W20" s="66"/>
      <c r="X20" s="127"/>
      <c r="Y20" s="40"/>
      <c r="Z20" s="128"/>
      <c r="AA20" s="129"/>
      <c r="AB20" s="73"/>
      <c r="AC20" s="66"/>
      <c r="AD20" s="66"/>
      <c r="AE20" s="127"/>
      <c r="AF20" s="40"/>
      <c r="AG20" s="128"/>
      <c r="AH20" s="129"/>
      <c r="AI20" s="73"/>
    </row>
    <row r="21" spans="1:35" s="446" customFormat="1" ht="12.75" customHeight="1">
      <c r="A21" s="40"/>
      <c r="B21" s="40"/>
      <c r="C21" s="45"/>
      <c r="D21" s="41"/>
      <c r="E21" s="44"/>
      <c r="F21" s="70"/>
      <c r="G21" s="46"/>
      <c r="H21" s="119"/>
      <c r="I21" s="25"/>
      <c r="J21" s="121"/>
      <c r="K21" s="122"/>
      <c r="L21" s="123"/>
      <c r="M21" s="124"/>
      <c r="N21" s="125"/>
      <c r="O21" s="126"/>
      <c r="P21" s="66"/>
      <c r="Q21" s="127"/>
      <c r="R21" s="40"/>
      <c r="S21" s="128"/>
      <c r="T21" s="129"/>
      <c r="U21" s="73"/>
      <c r="V21" s="66"/>
      <c r="W21" s="66"/>
      <c r="X21" s="127"/>
      <c r="Y21" s="40"/>
      <c r="Z21" s="128"/>
      <c r="AA21" s="129"/>
      <c r="AB21" s="73"/>
      <c r="AC21" s="66"/>
      <c r="AD21" s="66"/>
      <c r="AE21" s="127"/>
      <c r="AF21" s="40"/>
      <c r="AG21" s="128"/>
      <c r="AH21" s="129"/>
      <c r="AI21" s="73"/>
    </row>
    <row r="22" spans="1:35" s="446" customFormat="1" ht="12.75" customHeight="1">
      <c r="A22" s="40"/>
      <c r="B22" s="40"/>
      <c r="C22" s="45"/>
      <c r="D22" s="41"/>
      <c r="E22" s="44"/>
      <c r="F22" s="70"/>
      <c r="G22" s="46"/>
      <c r="H22" s="119"/>
      <c r="I22" s="25"/>
      <c r="J22" s="121"/>
      <c r="K22" s="122"/>
      <c r="L22" s="123"/>
      <c r="M22" s="124"/>
      <c r="N22" s="125"/>
      <c r="O22" s="126"/>
      <c r="P22" s="66"/>
      <c r="Q22" s="127"/>
      <c r="R22" s="40"/>
      <c r="S22" s="128"/>
      <c r="T22" s="129"/>
      <c r="U22" s="73"/>
      <c r="V22" s="66"/>
      <c r="W22" s="66"/>
      <c r="X22" s="127"/>
      <c r="Y22" s="40"/>
      <c r="Z22" s="128"/>
      <c r="AA22" s="129"/>
      <c r="AB22" s="73"/>
      <c r="AC22" s="66"/>
      <c r="AD22" s="66"/>
      <c r="AE22" s="127"/>
      <c r="AF22" s="40"/>
      <c r="AG22" s="128"/>
      <c r="AH22" s="129"/>
      <c r="AI22" s="73"/>
    </row>
    <row r="23" spans="1:35" s="446" customFormat="1" ht="12.75" customHeight="1">
      <c r="A23" s="40"/>
      <c r="B23" s="40"/>
      <c r="C23" s="45"/>
      <c r="D23" s="41"/>
      <c r="E23" s="44"/>
      <c r="F23" s="70"/>
      <c r="G23" s="46"/>
      <c r="H23" s="119"/>
      <c r="I23" s="25"/>
      <c r="J23" s="121"/>
      <c r="K23" s="122"/>
      <c r="L23" s="123"/>
      <c r="M23" s="124"/>
      <c r="N23" s="125"/>
      <c r="O23" s="126"/>
      <c r="P23" s="66"/>
      <c r="Q23" s="127"/>
      <c r="R23" s="40"/>
      <c r="S23" s="128"/>
      <c r="T23" s="129"/>
      <c r="U23" s="73"/>
      <c r="V23" s="66"/>
      <c r="W23" s="66"/>
      <c r="X23" s="127"/>
      <c r="Y23" s="40"/>
      <c r="Z23" s="128"/>
      <c r="AA23" s="129"/>
      <c r="AB23" s="73"/>
      <c r="AC23" s="66"/>
      <c r="AD23" s="66"/>
      <c r="AE23" s="127"/>
      <c r="AF23" s="40"/>
      <c r="AG23" s="128"/>
      <c r="AH23" s="129"/>
      <c r="AI23" s="73"/>
    </row>
    <row r="24" spans="1:35" s="446" customFormat="1" ht="12.75" customHeight="1">
      <c r="A24" s="40"/>
      <c r="B24" s="40"/>
      <c r="C24" s="45"/>
      <c r="D24" s="41"/>
      <c r="E24" s="44"/>
      <c r="F24" s="70"/>
      <c r="G24" s="46"/>
      <c r="H24" s="119"/>
      <c r="I24" s="25"/>
      <c r="J24" s="121"/>
      <c r="K24" s="122"/>
      <c r="L24" s="123"/>
      <c r="M24" s="124"/>
      <c r="N24" s="125"/>
      <c r="O24" s="126"/>
      <c r="P24" s="66"/>
      <c r="Q24" s="127"/>
      <c r="R24" s="40"/>
      <c r="S24" s="128"/>
      <c r="T24" s="129"/>
      <c r="U24" s="73"/>
      <c r="V24" s="66"/>
      <c r="W24" s="66"/>
      <c r="X24" s="127"/>
      <c r="Y24" s="40"/>
      <c r="Z24" s="128"/>
      <c r="AA24" s="129"/>
      <c r="AB24" s="73"/>
      <c r="AC24" s="66"/>
      <c r="AD24" s="66"/>
      <c r="AE24" s="127"/>
      <c r="AF24" s="40"/>
      <c r="AG24" s="128"/>
      <c r="AH24" s="129"/>
      <c r="AI24" s="73"/>
    </row>
    <row r="25" spans="1:35" s="446" customFormat="1" ht="12.75" customHeight="1">
      <c r="A25" s="40"/>
      <c r="B25" s="40"/>
      <c r="C25" s="45"/>
      <c r="D25" s="41"/>
      <c r="E25" s="44"/>
      <c r="F25" s="70"/>
      <c r="G25" s="46"/>
      <c r="H25" s="119"/>
      <c r="I25" s="25"/>
      <c r="J25" s="121"/>
      <c r="K25" s="122"/>
      <c r="L25" s="123"/>
      <c r="M25" s="124"/>
      <c r="N25" s="125"/>
      <c r="O25" s="126"/>
      <c r="P25" s="66"/>
      <c r="Q25" s="127"/>
      <c r="R25" s="40"/>
      <c r="S25" s="128"/>
      <c r="T25" s="129"/>
      <c r="U25" s="73"/>
      <c r="V25" s="66"/>
      <c r="W25" s="66"/>
      <c r="X25" s="127"/>
      <c r="Y25" s="40"/>
      <c r="Z25" s="128"/>
      <c r="AA25" s="129"/>
      <c r="AB25" s="73"/>
      <c r="AC25" s="66"/>
      <c r="AD25" s="66"/>
      <c r="AE25" s="127"/>
      <c r="AF25" s="40"/>
      <c r="AG25" s="128"/>
      <c r="AH25" s="129"/>
      <c r="AI25" s="73"/>
    </row>
    <row r="26" spans="1:35" s="446" customFormat="1" ht="12.75" customHeight="1">
      <c r="A26" s="40"/>
      <c r="B26" s="40"/>
      <c r="C26" s="45"/>
      <c r="D26" s="41"/>
      <c r="E26" s="44"/>
      <c r="F26" s="70"/>
      <c r="G26" s="46"/>
      <c r="H26" s="119"/>
      <c r="I26" s="25"/>
      <c r="J26" s="121"/>
      <c r="K26" s="122"/>
      <c r="L26" s="123"/>
      <c r="M26" s="124"/>
      <c r="N26" s="125"/>
      <c r="O26" s="126"/>
      <c r="P26" s="66"/>
      <c r="Q26" s="127"/>
      <c r="R26" s="40"/>
      <c r="S26" s="128"/>
      <c r="T26" s="129"/>
      <c r="U26" s="73"/>
      <c r="V26" s="66"/>
      <c r="W26" s="66"/>
      <c r="X26" s="127"/>
      <c r="Y26" s="40"/>
      <c r="Z26" s="128"/>
      <c r="AA26" s="129"/>
      <c r="AB26" s="73"/>
      <c r="AC26" s="66"/>
      <c r="AD26" s="66"/>
      <c r="AE26" s="127"/>
      <c r="AF26" s="40"/>
      <c r="AG26" s="128"/>
      <c r="AH26" s="129"/>
      <c r="AI26" s="73"/>
    </row>
    <row r="27" spans="1:35" s="446" customFormat="1" ht="12.75" customHeight="1">
      <c r="A27" s="40"/>
      <c r="B27" s="40"/>
      <c r="C27" s="45"/>
      <c r="D27" s="41"/>
      <c r="E27" s="44"/>
      <c r="F27" s="70"/>
      <c r="G27" s="46"/>
      <c r="H27" s="119"/>
      <c r="I27" s="25"/>
      <c r="J27" s="121"/>
      <c r="K27" s="122"/>
      <c r="L27" s="123"/>
      <c r="M27" s="124"/>
      <c r="N27" s="125"/>
      <c r="O27" s="126"/>
      <c r="P27" s="66"/>
      <c r="Q27" s="127"/>
      <c r="R27" s="40"/>
      <c r="S27" s="128"/>
      <c r="T27" s="129"/>
      <c r="U27" s="73"/>
      <c r="V27" s="66"/>
      <c r="W27" s="66"/>
      <c r="X27" s="127"/>
      <c r="Y27" s="40"/>
      <c r="Z27" s="128"/>
      <c r="AA27" s="129"/>
      <c r="AB27" s="73"/>
      <c r="AC27" s="66"/>
      <c r="AD27" s="66"/>
      <c r="AE27" s="127"/>
      <c r="AF27" s="40"/>
      <c r="AG27" s="128"/>
      <c r="AH27" s="129"/>
      <c r="AI27" s="73"/>
    </row>
    <row r="28" spans="1:35" s="446" customFormat="1" ht="12.75" customHeight="1">
      <c r="A28" s="40"/>
      <c r="B28" s="40"/>
      <c r="C28" s="45"/>
      <c r="D28" s="41"/>
      <c r="E28" s="44"/>
      <c r="F28" s="70"/>
      <c r="G28" s="46"/>
      <c r="H28" s="119"/>
      <c r="I28" s="25"/>
      <c r="J28" s="121"/>
      <c r="K28" s="122"/>
      <c r="L28" s="123"/>
      <c r="M28" s="124"/>
      <c r="N28" s="125"/>
      <c r="O28" s="126"/>
      <c r="P28" s="66"/>
      <c r="Q28" s="127"/>
      <c r="R28" s="40"/>
      <c r="S28" s="128"/>
      <c r="T28" s="129"/>
      <c r="U28" s="73"/>
      <c r="V28" s="66"/>
      <c r="W28" s="66"/>
      <c r="X28" s="127"/>
      <c r="Y28" s="40"/>
      <c r="Z28" s="128"/>
      <c r="AA28" s="129"/>
      <c r="AB28" s="73"/>
      <c r="AC28" s="66"/>
      <c r="AD28" s="66"/>
      <c r="AE28" s="127"/>
      <c r="AF28" s="40"/>
      <c r="AG28" s="128"/>
      <c r="AH28" s="129"/>
      <c r="AI28" s="73"/>
    </row>
    <row r="29" spans="1:35" s="446" customFormat="1" ht="12.75" customHeight="1">
      <c r="A29" s="40"/>
      <c r="B29" s="40"/>
      <c r="C29" s="45"/>
      <c r="D29" s="41"/>
      <c r="E29" s="44"/>
      <c r="F29" s="70"/>
      <c r="G29" s="46"/>
      <c r="H29" s="119"/>
      <c r="I29" s="25"/>
      <c r="J29" s="121"/>
      <c r="K29" s="122"/>
      <c r="L29" s="123"/>
      <c r="M29" s="124"/>
      <c r="N29" s="125"/>
      <c r="O29" s="126"/>
      <c r="P29" s="66"/>
      <c r="Q29" s="127"/>
      <c r="R29" s="40"/>
      <c r="S29" s="128"/>
      <c r="T29" s="129"/>
      <c r="U29" s="73"/>
      <c r="V29" s="66"/>
      <c r="W29" s="66"/>
      <c r="X29" s="127"/>
      <c r="Y29" s="40"/>
      <c r="Z29" s="128"/>
      <c r="AA29" s="129"/>
      <c r="AB29" s="73"/>
      <c r="AC29" s="66"/>
      <c r="AD29" s="66"/>
      <c r="AE29" s="127"/>
      <c r="AF29" s="40"/>
      <c r="AG29" s="128"/>
      <c r="AH29" s="129"/>
      <c r="AI29" s="73"/>
    </row>
    <row r="30" spans="1:35" s="446" customFormat="1" ht="12.75" customHeight="1">
      <c r="A30" s="40"/>
      <c r="B30" s="40"/>
      <c r="C30" s="45"/>
      <c r="D30" s="41"/>
      <c r="E30" s="44"/>
      <c r="F30" s="70"/>
      <c r="G30" s="46"/>
      <c r="H30" s="119"/>
      <c r="I30" s="25"/>
      <c r="J30" s="121"/>
      <c r="K30" s="122"/>
      <c r="L30" s="123"/>
      <c r="M30" s="124"/>
      <c r="N30" s="125"/>
      <c r="O30" s="126"/>
      <c r="P30" s="66"/>
      <c r="Q30" s="127"/>
      <c r="R30" s="40"/>
      <c r="S30" s="128"/>
      <c r="T30" s="129"/>
      <c r="U30" s="73"/>
      <c r="V30" s="66"/>
      <c r="W30" s="66"/>
      <c r="X30" s="127"/>
      <c r="Y30" s="40"/>
      <c r="Z30" s="128"/>
      <c r="AA30" s="129"/>
      <c r="AB30" s="73"/>
      <c r="AC30" s="66"/>
      <c r="AD30" s="66"/>
      <c r="AE30" s="127"/>
      <c r="AF30" s="40"/>
      <c r="AG30" s="128"/>
      <c r="AH30" s="129"/>
      <c r="AI30" s="73"/>
    </row>
    <row r="31" spans="1:35" s="446" customFormat="1" ht="12.75" customHeight="1">
      <c r="A31" s="40"/>
      <c r="B31" s="40"/>
      <c r="C31" s="45"/>
      <c r="D31" s="41"/>
      <c r="E31" s="44"/>
      <c r="F31" s="70"/>
      <c r="G31" s="46"/>
      <c r="H31" s="119"/>
      <c r="I31" s="25"/>
      <c r="J31" s="121"/>
      <c r="K31" s="122"/>
      <c r="L31" s="123"/>
      <c r="M31" s="124"/>
      <c r="N31" s="125"/>
      <c r="O31" s="126"/>
      <c r="P31" s="66"/>
      <c r="Q31" s="127"/>
      <c r="R31" s="40"/>
      <c r="S31" s="128"/>
      <c r="T31" s="129"/>
      <c r="U31" s="73"/>
      <c r="V31" s="66"/>
      <c r="W31" s="66"/>
      <c r="X31" s="127"/>
      <c r="Y31" s="40"/>
      <c r="Z31" s="128"/>
      <c r="AA31" s="129"/>
      <c r="AB31" s="73"/>
      <c r="AC31" s="66"/>
      <c r="AD31" s="66"/>
      <c r="AE31" s="127"/>
      <c r="AF31" s="40"/>
      <c r="AG31" s="128"/>
      <c r="AH31" s="129"/>
      <c r="AI31" s="73"/>
    </row>
    <row r="32" spans="1:35" s="446" customFormat="1" ht="12.75" customHeight="1">
      <c r="A32" s="40"/>
      <c r="B32" s="40"/>
      <c r="C32" s="45"/>
      <c r="D32" s="41"/>
      <c r="E32" s="44"/>
      <c r="F32" s="70"/>
      <c r="G32" s="46"/>
      <c r="H32" s="119"/>
      <c r="I32" s="25"/>
      <c r="J32" s="121"/>
      <c r="K32" s="122"/>
      <c r="L32" s="123"/>
      <c r="M32" s="124"/>
      <c r="N32" s="125"/>
      <c r="O32" s="126"/>
      <c r="P32" s="66"/>
      <c r="Q32" s="127"/>
      <c r="R32" s="40"/>
      <c r="S32" s="128"/>
      <c r="T32" s="129"/>
      <c r="U32" s="73"/>
      <c r="V32" s="66"/>
      <c r="W32" s="66"/>
      <c r="X32" s="127"/>
      <c r="Y32" s="40"/>
      <c r="Z32" s="128"/>
      <c r="AA32" s="129"/>
      <c r="AB32" s="73"/>
      <c r="AC32" s="66"/>
      <c r="AD32" s="66"/>
      <c r="AE32" s="127"/>
      <c r="AF32" s="40"/>
      <c r="AG32" s="128"/>
      <c r="AH32" s="129"/>
      <c r="AI32" s="73"/>
    </row>
    <row r="33" spans="1:35" s="446" customFormat="1" ht="12.75" customHeight="1">
      <c r="A33" s="40"/>
      <c r="B33" s="40"/>
      <c r="C33" s="45"/>
      <c r="D33" s="41"/>
      <c r="E33" s="44"/>
      <c r="F33" s="70"/>
      <c r="G33" s="46"/>
      <c r="H33" s="119"/>
      <c r="I33" s="25"/>
      <c r="J33" s="121"/>
      <c r="K33" s="122"/>
      <c r="L33" s="123"/>
      <c r="M33" s="124"/>
      <c r="N33" s="125"/>
      <c r="O33" s="126"/>
      <c r="P33" s="66"/>
      <c r="Q33" s="127"/>
      <c r="R33" s="40"/>
      <c r="S33" s="128"/>
      <c r="T33" s="129"/>
      <c r="U33" s="73"/>
      <c r="V33" s="66"/>
      <c r="W33" s="66"/>
      <c r="X33" s="127"/>
      <c r="Y33" s="40"/>
      <c r="Z33" s="128"/>
      <c r="AA33" s="129"/>
      <c r="AB33" s="73"/>
      <c r="AC33" s="66"/>
      <c r="AD33" s="66"/>
      <c r="AE33" s="127"/>
      <c r="AF33" s="40"/>
      <c r="AG33" s="128"/>
      <c r="AH33" s="129"/>
      <c r="AI33" s="73"/>
    </row>
    <row r="34" spans="1:35" s="446" customFormat="1" ht="12.75" customHeight="1">
      <c r="A34" s="40"/>
      <c r="B34" s="40"/>
      <c r="C34" s="45"/>
      <c r="D34" s="41"/>
      <c r="E34" s="44"/>
      <c r="F34" s="70"/>
      <c r="G34" s="46"/>
      <c r="H34" s="119"/>
      <c r="I34" s="25"/>
      <c r="J34" s="121"/>
      <c r="K34" s="122"/>
      <c r="L34" s="123"/>
      <c r="M34" s="124"/>
      <c r="N34" s="125"/>
      <c r="O34" s="126"/>
      <c r="P34" s="66"/>
      <c r="Q34" s="127"/>
      <c r="R34" s="40"/>
      <c r="S34" s="128"/>
      <c r="T34" s="129"/>
      <c r="U34" s="73"/>
      <c r="V34" s="66"/>
      <c r="W34" s="66"/>
      <c r="X34" s="127"/>
      <c r="Y34" s="40"/>
      <c r="Z34" s="128"/>
      <c r="AA34" s="129"/>
      <c r="AB34" s="73"/>
      <c r="AC34" s="66"/>
      <c r="AD34" s="66"/>
      <c r="AE34" s="127"/>
      <c r="AF34" s="40"/>
      <c r="AG34" s="128"/>
      <c r="AH34" s="129"/>
      <c r="AI34" s="73"/>
    </row>
    <row r="35" spans="1:35" s="446" customFormat="1" ht="12.75" customHeight="1">
      <c r="A35" s="40"/>
      <c r="B35" s="40"/>
      <c r="C35" s="45"/>
      <c r="D35" s="41"/>
      <c r="E35" s="44"/>
      <c r="F35" s="70"/>
      <c r="G35" s="46"/>
      <c r="H35" s="119"/>
      <c r="I35" s="25"/>
      <c r="J35" s="121"/>
      <c r="K35" s="122"/>
      <c r="L35" s="123"/>
      <c r="M35" s="124"/>
      <c r="N35" s="125"/>
      <c r="O35" s="126"/>
      <c r="P35" s="66"/>
      <c r="Q35" s="127"/>
      <c r="R35" s="40"/>
      <c r="S35" s="128"/>
      <c r="T35" s="129"/>
      <c r="U35" s="73"/>
      <c r="V35" s="66"/>
      <c r="W35" s="66"/>
      <c r="X35" s="127"/>
      <c r="Y35" s="40"/>
      <c r="Z35" s="128"/>
      <c r="AA35" s="129"/>
      <c r="AB35" s="73"/>
      <c r="AC35" s="66"/>
      <c r="AD35" s="66"/>
      <c r="AE35" s="127"/>
      <c r="AF35" s="40"/>
      <c r="AG35" s="128"/>
      <c r="AH35" s="129"/>
      <c r="AI35" s="73"/>
    </row>
    <row r="36" spans="1:35" s="446" customFormat="1" ht="12.75" customHeight="1">
      <c r="A36" s="40"/>
      <c r="B36" s="40"/>
      <c r="C36" s="45"/>
      <c r="D36" s="41"/>
      <c r="E36" s="44"/>
      <c r="F36" s="70"/>
      <c r="G36" s="46"/>
      <c r="H36" s="119"/>
      <c r="I36" s="25"/>
      <c r="J36" s="121"/>
      <c r="K36" s="122"/>
      <c r="L36" s="123"/>
      <c r="M36" s="124"/>
      <c r="N36" s="125"/>
      <c r="O36" s="126"/>
      <c r="P36" s="66"/>
      <c r="Q36" s="127"/>
      <c r="R36" s="40"/>
      <c r="S36" s="128"/>
      <c r="T36" s="129"/>
      <c r="U36" s="73"/>
      <c r="V36" s="66"/>
      <c r="W36" s="66"/>
      <c r="X36" s="127"/>
      <c r="Y36" s="40"/>
      <c r="Z36" s="128"/>
      <c r="AA36" s="129"/>
      <c r="AB36" s="73"/>
      <c r="AC36" s="66"/>
      <c r="AD36" s="66"/>
      <c r="AE36" s="127"/>
      <c r="AF36" s="40"/>
      <c r="AG36" s="128"/>
      <c r="AH36" s="129"/>
      <c r="AI36" s="73"/>
    </row>
    <row r="37" spans="1:35" s="446" customFormat="1" ht="12.75" customHeight="1">
      <c r="A37" s="40"/>
      <c r="B37" s="40"/>
      <c r="C37" s="45"/>
      <c r="D37" s="41"/>
      <c r="E37" s="44"/>
      <c r="F37" s="70"/>
      <c r="G37" s="46"/>
      <c r="H37" s="119"/>
      <c r="I37" s="25"/>
      <c r="J37" s="121"/>
      <c r="K37" s="122"/>
      <c r="L37" s="123"/>
      <c r="M37" s="124"/>
      <c r="N37" s="125"/>
      <c r="O37" s="126"/>
      <c r="P37" s="66"/>
      <c r="Q37" s="127"/>
      <c r="R37" s="40"/>
      <c r="S37" s="128"/>
      <c r="T37" s="129"/>
      <c r="U37" s="73"/>
      <c r="V37" s="66"/>
      <c r="W37" s="66"/>
      <c r="X37" s="127"/>
      <c r="Y37" s="40"/>
      <c r="Z37" s="128"/>
      <c r="AA37" s="129"/>
      <c r="AB37" s="73"/>
      <c r="AC37" s="66"/>
      <c r="AD37" s="66"/>
      <c r="AE37" s="127"/>
      <c r="AF37" s="40"/>
      <c r="AG37" s="128"/>
      <c r="AH37" s="129"/>
      <c r="AI37" s="73"/>
    </row>
    <row r="38" spans="1:35" s="446" customFormat="1" ht="12.75" customHeight="1">
      <c r="A38" s="40"/>
      <c r="B38" s="40"/>
      <c r="C38" s="45"/>
      <c r="D38" s="41"/>
      <c r="E38" s="44"/>
      <c r="F38" s="70"/>
      <c r="G38" s="46"/>
      <c r="H38" s="119"/>
      <c r="I38" s="25"/>
      <c r="J38" s="121"/>
      <c r="K38" s="122"/>
      <c r="L38" s="123"/>
      <c r="M38" s="124"/>
      <c r="N38" s="125"/>
      <c r="O38" s="126"/>
      <c r="P38" s="66"/>
      <c r="Q38" s="127"/>
      <c r="R38" s="40"/>
      <c r="S38" s="128"/>
      <c r="T38" s="129"/>
      <c r="U38" s="73"/>
      <c r="V38" s="66"/>
      <c r="W38" s="66"/>
      <c r="X38" s="127"/>
      <c r="Y38" s="40"/>
      <c r="Z38" s="128"/>
      <c r="AA38" s="129"/>
      <c r="AB38" s="73"/>
      <c r="AC38" s="66"/>
      <c r="AD38" s="66"/>
      <c r="AE38" s="127"/>
      <c r="AF38" s="40"/>
      <c r="AG38" s="128"/>
      <c r="AH38" s="129"/>
      <c r="AI38" s="73"/>
    </row>
    <row r="39" spans="1:35" s="446" customFormat="1" ht="12.75" customHeight="1">
      <c r="A39" s="40"/>
      <c r="B39" s="40"/>
      <c r="C39" s="45"/>
      <c r="D39" s="41"/>
      <c r="E39" s="44"/>
      <c r="F39" s="70"/>
      <c r="G39" s="46"/>
      <c r="H39" s="119"/>
      <c r="I39" s="25"/>
      <c r="J39" s="121"/>
      <c r="K39" s="122"/>
      <c r="L39" s="123"/>
      <c r="M39" s="124"/>
      <c r="N39" s="125"/>
      <c r="O39" s="126"/>
      <c r="P39" s="66"/>
      <c r="Q39" s="127"/>
      <c r="R39" s="40"/>
      <c r="S39" s="128"/>
      <c r="T39" s="129"/>
      <c r="U39" s="73"/>
      <c r="V39" s="66"/>
      <c r="W39" s="66"/>
      <c r="X39" s="127"/>
      <c r="Y39" s="40"/>
      <c r="Z39" s="128"/>
      <c r="AA39" s="129"/>
      <c r="AB39" s="73"/>
      <c r="AC39" s="66"/>
      <c r="AD39" s="66"/>
      <c r="AE39" s="127"/>
      <c r="AF39" s="40"/>
      <c r="AG39" s="128"/>
      <c r="AH39" s="129"/>
      <c r="AI39" s="73"/>
    </row>
    <row r="40" spans="1:35" s="446" customFormat="1" ht="12.75" customHeight="1">
      <c r="A40" s="40"/>
      <c r="B40" s="40"/>
      <c r="C40" s="45"/>
      <c r="D40" s="41"/>
      <c r="E40" s="44"/>
      <c r="F40" s="70"/>
      <c r="G40" s="46"/>
      <c r="H40" s="119"/>
      <c r="I40" s="25"/>
      <c r="J40" s="121"/>
      <c r="K40" s="122"/>
      <c r="L40" s="123"/>
      <c r="M40" s="124"/>
      <c r="N40" s="125"/>
      <c r="O40" s="126"/>
      <c r="P40" s="66"/>
      <c r="Q40" s="127"/>
      <c r="R40" s="40"/>
      <c r="S40" s="128"/>
      <c r="T40" s="129"/>
      <c r="U40" s="73"/>
      <c r="V40" s="66"/>
      <c r="W40" s="66"/>
      <c r="X40" s="127"/>
      <c r="Y40" s="40"/>
      <c r="Z40" s="128"/>
      <c r="AA40" s="129"/>
      <c r="AB40" s="73"/>
      <c r="AC40" s="66"/>
      <c r="AD40" s="66"/>
      <c r="AE40" s="127"/>
      <c r="AF40" s="40"/>
      <c r="AG40" s="128"/>
      <c r="AH40" s="129"/>
      <c r="AI40" s="73"/>
    </row>
    <row r="41" spans="1:35" s="446" customFormat="1" ht="12.75" customHeight="1">
      <c r="A41" s="40"/>
      <c r="B41" s="40"/>
      <c r="C41" s="45"/>
      <c r="D41" s="41"/>
      <c r="E41" s="44"/>
      <c r="F41" s="70"/>
      <c r="G41" s="46"/>
      <c r="H41" s="119"/>
      <c r="I41" s="25"/>
      <c r="J41" s="121"/>
      <c r="K41" s="122"/>
      <c r="L41" s="123"/>
      <c r="M41" s="124"/>
      <c r="N41" s="125"/>
      <c r="O41" s="126"/>
      <c r="P41" s="66"/>
      <c r="Q41" s="127"/>
      <c r="R41" s="40"/>
      <c r="S41" s="128"/>
      <c r="T41" s="129"/>
      <c r="U41" s="73"/>
      <c r="V41" s="66"/>
      <c r="W41" s="66"/>
      <c r="X41" s="127"/>
      <c r="Y41" s="40"/>
      <c r="Z41" s="128"/>
      <c r="AA41" s="129"/>
      <c r="AB41" s="73"/>
      <c r="AC41" s="66"/>
      <c r="AD41" s="66"/>
      <c r="AE41" s="127"/>
      <c r="AF41" s="40"/>
      <c r="AG41" s="128"/>
      <c r="AH41" s="129"/>
      <c r="AI41" s="73"/>
    </row>
    <row r="42" spans="1:35" s="446" customFormat="1" ht="12.75" customHeight="1">
      <c r="A42" s="40"/>
      <c r="B42" s="40"/>
      <c r="C42" s="45"/>
      <c r="D42" s="41"/>
      <c r="E42" s="44"/>
      <c r="F42" s="70"/>
      <c r="G42" s="46"/>
      <c r="H42" s="119"/>
      <c r="I42" s="25"/>
      <c r="J42" s="121"/>
      <c r="K42" s="122"/>
      <c r="L42" s="123"/>
      <c r="M42" s="124"/>
      <c r="N42" s="125"/>
      <c r="O42" s="126"/>
      <c r="P42" s="66"/>
      <c r="Q42" s="127"/>
      <c r="R42" s="40"/>
      <c r="S42" s="128"/>
      <c r="T42" s="129"/>
      <c r="U42" s="73"/>
      <c r="V42" s="66"/>
      <c r="W42" s="66"/>
      <c r="X42" s="127"/>
      <c r="Y42" s="40"/>
      <c r="Z42" s="128"/>
      <c r="AA42" s="129"/>
      <c r="AB42" s="73"/>
      <c r="AC42" s="66"/>
      <c r="AD42" s="66"/>
      <c r="AE42" s="127"/>
      <c r="AF42" s="40"/>
      <c r="AG42" s="128"/>
      <c r="AH42" s="129"/>
      <c r="AI42" s="73"/>
    </row>
    <row r="43" spans="1:35" s="446" customFormat="1" ht="12.75" customHeight="1">
      <c r="A43" s="40"/>
      <c r="B43" s="40"/>
      <c r="C43" s="45"/>
      <c r="D43" s="41"/>
      <c r="E43" s="44"/>
      <c r="F43" s="70"/>
      <c r="G43" s="46"/>
      <c r="H43" s="119"/>
      <c r="I43" s="25"/>
      <c r="J43" s="121"/>
      <c r="K43" s="122"/>
      <c r="L43" s="123"/>
      <c r="M43" s="124"/>
      <c r="N43" s="125"/>
      <c r="O43" s="126"/>
      <c r="P43" s="66"/>
      <c r="Q43" s="127"/>
      <c r="R43" s="40"/>
      <c r="S43" s="128"/>
      <c r="T43" s="129"/>
      <c r="U43" s="73"/>
      <c r="V43" s="66"/>
      <c r="W43" s="66"/>
      <c r="X43" s="127"/>
      <c r="Y43" s="40"/>
      <c r="Z43" s="128"/>
      <c r="AA43" s="129"/>
      <c r="AB43" s="73"/>
      <c r="AC43" s="66"/>
      <c r="AD43" s="66"/>
      <c r="AE43" s="127"/>
      <c r="AF43" s="40"/>
      <c r="AG43" s="128"/>
      <c r="AH43" s="129"/>
      <c r="AI43" s="73"/>
    </row>
    <row r="44" spans="1:35" s="446" customFormat="1" ht="12.75" customHeight="1">
      <c r="A44" s="40"/>
      <c r="B44" s="40"/>
      <c r="C44" s="45"/>
      <c r="D44" s="41"/>
      <c r="E44" s="44"/>
      <c r="F44" s="70"/>
      <c r="G44" s="46"/>
      <c r="H44" s="119"/>
      <c r="I44" s="25"/>
      <c r="J44" s="121"/>
      <c r="K44" s="122"/>
      <c r="L44" s="123"/>
      <c r="M44" s="124"/>
      <c r="N44" s="125"/>
      <c r="O44" s="126"/>
      <c r="P44" s="66"/>
      <c r="Q44" s="127"/>
      <c r="R44" s="40"/>
      <c r="S44" s="128"/>
      <c r="T44" s="129"/>
      <c r="U44" s="73"/>
      <c r="V44" s="66"/>
      <c r="W44" s="66"/>
      <c r="X44" s="127"/>
      <c r="Y44" s="40"/>
      <c r="Z44" s="128"/>
      <c r="AA44" s="129"/>
      <c r="AB44" s="73"/>
      <c r="AC44" s="66"/>
      <c r="AD44" s="66"/>
      <c r="AE44" s="127"/>
      <c r="AF44" s="40"/>
      <c r="AG44" s="128"/>
      <c r="AH44" s="129"/>
      <c r="AI44" s="73"/>
    </row>
    <row r="45" spans="1:35" s="446" customFormat="1" ht="12.75" customHeight="1">
      <c r="A45" s="40"/>
      <c r="B45" s="40"/>
      <c r="C45" s="45"/>
      <c r="D45" s="41"/>
      <c r="E45" s="44"/>
      <c r="F45" s="70"/>
      <c r="G45" s="46"/>
      <c r="H45" s="119"/>
      <c r="I45" s="25"/>
      <c r="J45" s="121"/>
      <c r="K45" s="122"/>
      <c r="L45" s="123"/>
      <c r="M45" s="124"/>
      <c r="N45" s="125"/>
      <c r="O45" s="126"/>
      <c r="P45" s="66"/>
      <c r="Q45" s="127"/>
      <c r="R45" s="40"/>
      <c r="S45" s="128"/>
      <c r="T45" s="129"/>
      <c r="U45" s="73"/>
      <c r="V45" s="66"/>
      <c r="W45" s="66"/>
      <c r="X45" s="127"/>
      <c r="Y45" s="40"/>
      <c r="Z45" s="128"/>
      <c r="AA45" s="129"/>
      <c r="AB45" s="73"/>
      <c r="AC45" s="66"/>
      <c r="AD45" s="66"/>
      <c r="AE45" s="127"/>
      <c r="AF45" s="40"/>
      <c r="AG45" s="128"/>
      <c r="AH45" s="129"/>
      <c r="AI45" s="73"/>
    </row>
    <row r="46" spans="1:35" s="446" customFormat="1" ht="12.75" customHeight="1">
      <c r="A46" s="40"/>
      <c r="B46" s="40"/>
      <c r="C46" s="45"/>
      <c r="D46" s="41"/>
      <c r="E46" s="44"/>
      <c r="F46" s="70"/>
      <c r="G46" s="46"/>
      <c r="H46" s="119"/>
      <c r="I46" s="25"/>
      <c r="J46" s="121"/>
      <c r="K46" s="122"/>
      <c r="L46" s="123"/>
      <c r="M46" s="124"/>
      <c r="N46" s="125"/>
      <c r="O46" s="126"/>
      <c r="P46" s="66"/>
      <c r="Q46" s="127"/>
      <c r="R46" s="40"/>
      <c r="S46" s="128"/>
      <c r="T46" s="129"/>
      <c r="U46" s="73"/>
      <c r="V46" s="66"/>
      <c r="W46" s="66"/>
      <c r="X46" s="127"/>
      <c r="Y46" s="40"/>
      <c r="Z46" s="128"/>
      <c r="AA46" s="129"/>
      <c r="AB46" s="73"/>
      <c r="AC46" s="66"/>
      <c r="AD46" s="66"/>
      <c r="AE46" s="127"/>
      <c r="AF46" s="40"/>
      <c r="AG46" s="128"/>
      <c r="AH46" s="129"/>
      <c r="AI46" s="73"/>
    </row>
    <row r="47" spans="1:35" s="446" customFormat="1" ht="12.75" customHeight="1">
      <c r="A47" s="40"/>
      <c r="B47" s="40"/>
      <c r="C47" s="45"/>
      <c r="D47" s="41"/>
      <c r="E47" s="44"/>
      <c r="F47" s="70"/>
      <c r="G47" s="46"/>
      <c r="H47" s="119"/>
      <c r="I47" s="25"/>
      <c r="J47" s="121"/>
      <c r="K47" s="122"/>
      <c r="L47" s="123"/>
      <c r="M47" s="124"/>
      <c r="N47" s="125"/>
      <c r="O47" s="126"/>
      <c r="P47" s="66"/>
      <c r="Q47" s="127"/>
      <c r="R47" s="40"/>
      <c r="S47" s="128"/>
      <c r="T47" s="129"/>
      <c r="U47" s="73"/>
      <c r="V47" s="66"/>
      <c r="W47" s="66"/>
      <c r="X47" s="127"/>
      <c r="Y47" s="40"/>
      <c r="Z47" s="128"/>
      <c r="AA47" s="129"/>
      <c r="AB47" s="73"/>
      <c r="AC47" s="66"/>
      <c r="AD47" s="66"/>
      <c r="AE47" s="127"/>
      <c r="AF47" s="40"/>
      <c r="AG47" s="128"/>
      <c r="AH47" s="129"/>
      <c r="AI47" s="73"/>
    </row>
    <row r="48" spans="1:35" s="446" customFormat="1" ht="12.75" customHeight="1">
      <c r="A48" s="40"/>
      <c r="B48" s="40"/>
      <c r="C48" s="45"/>
      <c r="D48" s="41"/>
      <c r="E48" s="44"/>
      <c r="F48" s="70"/>
      <c r="G48" s="46"/>
      <c r="H48" s="119"/>
      <c r="I48" s="25"/>
      <c r="J48" s="121"/>
      <c r="K48" s="122"/>
      <c r="L48" s="123"/>
      <c r="M48" s="124"/>
      <c r="N48" s="125"/>
      <c r="O48" s="126"/>
      <c r="P48" s="66"/>
      <c r="Q48" s="127"/>
      <c r="R48" s="40"/>
      <c r="S48" s="128"/>
      <c r="T48" s="129"/>
      <c r="U48" s="73"/>
      <c r="V48" s="66"/>
      <c r="W48" s="66"/>
      <c r="X48" s="127"/>
      <c r="Y48" s="40"/>
      <c r="Z48" s="128"/>
      <c r="AA48" s="129"/>
      <c r="AB48" s="73"/>
      <c r="AC48" s="66"/>
      <c r="AD48" s="66"/>
      <c r="AE48" s="127"/>
      <c r="AF48" s="40"/>
      <c r="AG48" s="128"/>
      <c r="AH48" s="129"/>
      <c r="AI48" s="73"/>
    </row>
    <row r="49" spans="1:35" s="446" customFormat="1" ht="12.75" customHeight="1">
      <c r="A49" s="40"/>
      <c r="B49" s="40"/>
      <c r="C49" s="45"/>
      <c r="D49" s="41"/>
      <c r="E49" s="44"/>
      <c r="F49" s="70"/>
      <c r="G49" s="46"/>
      <c r="H49" s="119"/>
      <c r="I49" s="25"/>
      <c r="J49" s="121"/>
      <c r="K49" s="122"/>
      <c r="L49" s="123"/>
      <c r="M49" s="124"/>
      <c r="N49" s="125"/>
      <c r="O49" s="126"/>
      <c r="P49" s="66"/>
      <c r="Q49" s="127"/>
      <c r="R49" s="40"/>
      <c r="S49" s="128"/>
      <c r="T49" s="129"/>
      <c r="U49" s="73"/>
      <c r="V49" s="66"/>
      <c r="W49" s="66"/>
      <c r="X49" s="127"/>
      <c r="Y49" s="40"/>
      <c r="Z49" s="128"/>
      <c r="AA49" s="129"/>
      <c r="AB49" s="73"/>
      <c r="AC49" s="66"/>
      <c r="AD49" s="66"/>
      <c r="AE49" s="127"/>
      <c r="AF49" s="40"/>
      <c r="AG49" s="128"/>
      <c r="AH49" s="129"/>
      <c r="AI49" s="73"/>
    </row>
    <row r="50" spans="1:35" s="446" customFormat="1" ht="12.75" customHeight="1">
      <c r="A50" s="40"/>
      <c r="B50" s="40"/>
      <c r="C50" s="45"/>
      <c r="D50" s="41"/>
      <c r="E50" s="44"/>
      <c r="F50" s="70"/>
      <c r="G50" s="46"/>
      <c r="H50" s="119"/>
      <c r="I50" s="25"/>
      <c r="J50" s="121"/>
      <c r="K50" s="122"/>
      <c r="L50" s="123"/>
      <c r="M50" s="124"/>
      <c r="N50" s="125"/>
      <c r="O50" s="126"/>
      <c r="P50" s="66"/>
      <c r="Q50" s="127"/>
      <c r="R50" s="40"/>
      <c r="S50" s="128"/>
      <c r="T50" s="129"/>
      <c r="U50" s="73"/>
      <c r="V50" s="66"/>
      <c r="W50" s="66"/>
      <c r="X50" s="127"/>
      <c r="Y50" s="40"/>
      <c r="Z50" s="128"/>
      <c r="AA50" s="129"/>
      <c r="AB50" s="73"/>
      <c r="AC50" s="66"/>
      <c r="AD50" s="66"/>
      <c r="AE50" s="127"/>
      <c r="AF50" s="40"/>
      <c r="AG50" s="128"/>
      <c r="AH50" s="129"/>
      <c r="AI50" s="73"/>
    </row>
    <row r="51" spans="1:35" s="446" customFormat="1" ht="12.75" customHeight="1">
      <c r="A51" s="40"/>
      <c r="B51" s="40"/>
      <c r="C51" s="45"/>
      <c r="D51" s="41"/>
      <c r="E51" s="44"/>
      <c r="F51" s="70"/>
      <c r="G51" s="46"/>
      <c r="H51" s="119"/>
      <c r="I51" s="25"/>
      <c r="J51" s="121"/>
      <c r="K51" s="122"/>
      <c r="L51" s="123"/>
      <c r="M51" s="124"/>
      <c r="N51" s="125"/>
      <c r="O51" s="126"/>
      <c r="P51" s="66"/>
      <c r="Q51" s="127"/>
      <c r="R51" s="40"/>
      <c r="S51" s="128"/>
      <c r="T51" s="129"/>
      <c r="U51" s="73"/>
      <c r="V51" s="66"/>
      <c r="W51" s="66"/>
      <c r="X51" s="127"/>
      <c r="Y51" s="40"/>
      <c r="Z51" s="128"/>
      <c r="AA51" s="129"/>
      <c r="AB51" s="73"/>
      <c r="AC51" s="66"/>
      <c r="AD51" s="66"/>
      <c r="AE51" s="127"/>
      <c r="AF51" s="40"/>
      <c r="AG51" s="128"/>
      <c r="AH51" s="129"/>
      <c r="AI51" s="73"/>
    </row>
    <row r="52" spans="1:35" s="446" customFormat="1" ht="12.75" customHeight="1">
      <c r="A52" s="40"/>
      <c r="B52" s="40"/>
      <c r="C52" s="45"/>
      <c r="D52" s="41"/>
      <c r="E52" s="44"/>
      <c r="F52" s="70"/>
      <c r="G52" s="46"/>
      <c r="H52" s="119"/>
      <c r="I52" s="25"/>
      <c r="J52" s="121"/>
      <c r="K52" s="122"/>
      <c r="L52" s="123"/>
      <c r="M52" s="124"/>
      <c r="N52" s="125"/>
      <c r="O52" s="126"/>
      <c r="P52" s="66"/>
      <c r="Q52" s="127"/>
      <c r="R52" s="40"/>
      <c r="S52" s="128"/>
      <c r="T52" s="129"/>
      <c r="U52" s="73"/>
      <c r="V52" s="66"/>
      <c r="W52" s="66"/>
      <c r="X52" s="127"/>
      <c r="Y52" s="40"/>
      <c r="Z52" s="128"/>
      <c r="AA52" s="129"/>
      <c r="AB52" s="73"/>
      <c r="AC52" s="66"/>
      <c r="AD52" s="66"/>
      <c r="AE52" s="127"/>
      <c r="AF52" s="40"/>
      <c r="AG52" s="128"/>
      <c r="AH52" s="129"/>
      <c r="AI52" s="73"/>
    </row>
    <row r="53" spans="1:35" s="446" customFormat="1" ht="12.75" customHeight="1">
      <c r="A53" s="40"/>
      <c r="B53" s="40"/>
      <c r="C53" s="45"/>
      <c r="D53" s="41"/>
      <c r="E53" s="44"/>
      <c r="F53" s="70"/>
      <c r="G53" s="46"/>
      <c r="H53" s="119"/>
      <c r="I53" s="25"/>
      <c r="J53" s="121"/>
      <c r="K53" s="122"/>
      <c r="L53" s="123"/>
      <c r="M53" s="124"/>
      <c r="N53" s="125"/>
      <c r="O53" s="126"/>
      <c r="P53" s="66"/>
      <c r="Q53" s="127"/>
      <c r="R53" s="40"/>
      <c r="S53" s="128"/>
      <c r="T53" s="129"/>
      <c r="U53" s="73"/>
      <c r="V53" s="66"/>
      <c r="W53" s="66"/>
      <c r="X53" s="127"/>
      <c r="Y53" s="40"/>
      <c r="Z53" s="128"/>
      <c r="AA53" s="129"/>
      <c r="AB53" s="73"/>
      <c r="AC53" s="66"/>
      <c r="AD53" s="66"/>
      <c r="AE53" s="127"/>
      <c r="AF53" s="40"/>
      <c r="AG53" s="128"/>
      <c r="AH53" s="129"/>
      <c r="AI53" s="73"/>
    </row>
    <row r="54" spans="1:35" s="446" customFormat="1" ht="12.75" customHeight="1">
      <c r="A54" s="40"/>
      <c r="B54" s="40"/>
      <c r="C54" s="45"/>
      <c r="D54" s="41"/>
      <c r="E54" s="44"/>
      <c r="F54" s="70"/>
      <c r="G54" s="46"/>
      <c r="H54" s="119"/>
      <c r="I54" s="25"/>
      <c r="J54" s="121"/>
      <c r="K54" s="122"/>
      <c r="L54" s="123"/>
      <c r="M54" s="124"/>
      <c r="N54" s="125"/>
      <c r="O54" s="126"/>
      <c r="P54" s="66"/>
      <c r="Q54" s="127"/>
      <c r="R54" s="40"/>
      <c r="S54" s="128"/>
      <c r="T54" s="129"/>
      <c r="U54" s="73"/>
      <c r="V54" s="66"/>
      <c r="W54" s="66"/>
      <c r="X54" s="127"/>
      <c r="Y54" s="40"/>
      <c r="Z54" s="128"/>
      <c r="AA54" s="129"/>
      <c r="AB54" s="73"/>
      <c r="AC54" s="66"/>
      <c r="AD54" s="66"/>
      <c r="AE54" s="127"/>
      <c r="AF54" s="40"/>
      <c r="AG54" s="128"/>
      <c r="AH54" s="129"/>
      <c r="AI54" s="73"/>
    </row>
    <row r="55" spans="1:35" s="446" customFormat="1" ht="12.75" customHeight="1">
      <c r="A55" s="40"/>
      <c r="B55" s="40"/>
      <c r="C55" s="45"/>
      <c r="D55" s="41"/>
      <c r="E55" s="44"/>
      <c r="F55" s="70"/>
      <c r="G55" s="46"/>
      <c r="H55" s="119"/>
      <c r="I55" s="25"/>
      <c r="J55" s="121"/>
      <c r="K55" s="122"/>
      <c r="L55" s="123"/>
      <c r="M55" s="124"/>
      <c r="N55" s="125"/>
      <c r="O55" s="126"/>
      <c r="P55" s="66"/>
      <c r="Q55" s="127"/>
      <c r="R55" s="40"/>
      <c r="S55" s="128"/>
      <c r="T55" s="129"/>
      <c r="U55" s="73"/>
      <c r="V55" s="66"/>
      <c r="W55" s="66"/>
      <c r="X55" s="127"/>
      <c r="Y55" s="40"/>
      <c r="Z55" s="128"/>
      <c r="AA55" s="129"/>
      <c r="AB55" s="73"/>
      <c r="AC55" s="66"/>
      <c r="AD55" s="66"/>
      <c r="AE55" s="127"/>
      <c r="AF55" s="40"/>
      <c r="AG55" s="128"/>
      <c r="AH55" s="129"/>
      <c r="AI55" s="73"/>
    </row>
    <row r="56" spans="1:35" s="446" customFormat="1" ht="12.75" customHeight="1">
      <c r="A56" s="40"/>
      <c r="B56" s="40"/>
      <c r="C56" s="45"/>
      <c r="D56" s="41"/>
      <c r="E56" s="44"/>
      <c r="F56" s="70"/>
      <c r="G56" s="46"/>
      <c r="H56" s="119"/>
      <c r="I56" s="25"/>
      <c r="J56" s="121"/>
      <c r="K56" s="122"/>
      <c r="L56" s="123"/>
      <c r="M56" s="124"/>
      <c r="N56" s="125"/>
      <c r="O56" s="126"/>
      <c r="P56" s="66"/>
      <c r="Q56" s="127"/>
      <c r="R56" s="40"/>
      <c r="S56" s="128"/>
      <c r="T56" s="129"/>
      <c r="U56" s="73"/>
      <c r="V56" s="66"/>
      <c r="W56" s="66"/>
      <c r="X56" s="127"/>
      <c r="Y56" s="40"/>
      <c r="Z56" s="128"/>
      <c r="AA56" s="129"/>
      <c r="AB56" s="73"/>
      <c r="AC56" s="66"/>
      <c r="AD56" s="66"/>
      <c r="AE56" s="127"/>
      <c r="AF56" s="40"/>
      <c r="AG56" s="128"/>
      <c r="AH56" s="129"/>
      <c r="AI56" s="73"/>
    </row>
    <row r="57" spans="1:35" s="446" customFormat="1" ht="12.75" customHeight="1">
      <c r="A57" s="40"/>
      <c r="B57" s="40"/>
      <c r="C57" s="45"/>
      <c r="D57" s="41"/>
      <c r="E57" s="44"/>
      <c r="F57" s="70"/>
      <c r="G57" s="46"/>
      <c r="H57" s="119"/>
      <c r="I57" s="25"/>
      <c r="J57" s="121"/>
      <c r="K57" s="122"/>
      <c r="L57" s="123"/>
      <c r="M57" s="124"/>
      <c r="N57" s="125"/>
      <c r="O57" s="126"/>
      <c r="P57" s="66"/>
      <c r="Q57" s="127"/>
      <c r="R57" s="40"/>
      <c r="S57" s="128"/>
      <c r="T57" s="129"/>
      <c r="U57" s="73"/>
      <c r="V57" s="66"/>
      <c r="W57" s="66"/>
      <c r="X57" s="127"/>
      <c r="Y57" s="40"/>
      <c r="Z57" s="128"/>
      <c r="AA57" s="129"/>
      <c r="AB57" s="73"/>
      <c r="AC57" s="66"/>
      <c r="AD57" s="66"/>
      <c r="AE57" s="127"/>
      <c r="AF57" s="40"/>
      <c r="AG57" s="128"/>
      <c r="AH57" s="129"/>
      <c r="AI57" s="73"/>
    </row>
    <row r="58" spans="1:35" s="446" customFormat="1" ht="12.75" customHeight="1">
      <c r="A58" s="40"/>
      <c r="B58" s="40"/>
      <c r="C58" s="45"/>
      <c r="D58" s="41"/>
      <c r="E58" s="44"/>
      <c r="F58" s="70"/>
      <c r="G58" s="46"/>
      <c r="H58" s="119"/>
      <c r="I58" s="25"/>
      <c r="J58" s="121"/>
      <c r="K58" s="122"/>
      <c r="L58" s="123"/>
      <c r="M58" s="124"/>
      <c r="N58" s="125"/>
      <c r="O58" s="126"/>
      <c r="P58" s="66"/>
      <c r="Q58" s="127"/>
      <c r="R58" s="40"/>
      <c r="S58" s="128"/>
      <c r="T58" s="129"/>
      <c r="U58" s="73"/>
      <c r="V58" s="66"/>
      <c r="W58" s="66"/>
      <c r="X58" s="127"/>
      <c r="Y58" s="40"/>
      <c r="Z58" s="128"/>
      <c r="AA58" s="129"/>
      <c r="AB58" s="73"/>
      <c r="AC58" s="66"/>
      <c r="AD58" s="66"/>
      <c r="AE58" s="127"/>
      <c r="AF58" s="40"/>
      <c r="AG58" s="128"/>
      <c r="AH58" s="129"/>
      <c r="AI58" s="73"/>
    </row>
    <row r="59" spans="1:35" s="446" customFormat="1" ht="12.75" customHeight="1">
      <c r="A59" s="40"/>
      <c r="B59" s="40"/>
      <c r="C59" s="45"/>
      <c r="D59" s="41"/>
      <c r="E59" s="44"/>
      <c r="F59" s="70"/>
      <c r="G59" s="46"/>
      <c r="H59" s="119"/>
      <c r="I59" s="25"/>
      <c r="J59" s="121"/>
      <c r="K59" s="122"/>
      <c r="L59" s="123"/>
      <c r="M59" s="124"/>
      <c r="N59" s="125"/>
      <c r="O59" s="126"/>
      <c r="P59" s="66"/>
      <c r="Q59" s="127"/>
      <c r="R59" s="40"/>
      <c r="S59" s="128"/>
      <c r="T59" s="129"/>
      <c r="U59" s="73"/>
      <c r="V59" s="66"/>
      <c r="W59" s="66"/>
      <c r="X59" s="127"/>
      <c r="Y59" s="40"/>
      <c r="Z59" s="128"/>
      <c r="AA59" s="129"/>
      <c r="AB59" s="73"/>
      <c r="AC59" s="66"/>
      <c r="AD59" s="66"/>
      <c r="AE59" s="127"/>
      <c r="AF59" s="40"/>
      <c r="AG59" s="128"/>
      <c r="AH59" s="129"/>
      <c r="AI59" s="73"/>
    </row>
    <row r="60" spans="1:35" ht="12.75" customHeight="1">
      <c r="A60" s="43"/>
      <c r="B60" s="40"/>
      <c r="C60" s="43"/>
      <c r="D60" s="40"/>
      <c r="E60" s="40"/>
      <c r="F60" s="43"/>
      <c r="G60" s="46"/>
      <c r="H60" s="119">
        <v>13</v>
      </c>
      <c r="I60" s="99"/>
      <c r="J60" s="121"/>
      <c r="K60" s="122"/>
      <c r="L60" s="123"/>
      <c r="M60" s="124"/>
      <c r="N60" s="125"/>
      <c r="O60" s="126"/>
      <c r="P60" s="66"/>
      <c r="Q60" s="127"/>
      <c r="R60" s="40"/>
      <c r="S60" s="128"/>
      <c r="T60" s="129"/>
      <c r="U60" s="73"/>
      <c r="V60" s="66"/>
      <c r="W60" s="66"/>
      <c r="X60" s="127"/>
      <c r="Y60" s="40"/>
      <c r="Z60" s="128"/>
      <c r="AA60" s="129"/>
      <c r="AB60" s="73"/>
      <c r="AC60" s="66"/>
      <c r="AD60" s="66"/>
      <c r="AE60" s="127"/>
      <c r="AF60" s="40"/>
      <c r="AG60" s="128"/>
      <c r="AH60" s="129"/>
      <c r="AI60" s="73"/>
    </row>
    <row r="61" spans="1:35" ht="12.75" customHeight="1">
      <c r="A61" s="132"/>
      <c r="B61" s="132"/>
      <c r="C61" s="132"/>
      <c r="D61" s="132"/>
      <c r="E61" s="132"/>
      <c r="F61" s="132"/>
      <c r="G61" s="59"/>
      <c r="H61" s="119">
        <v>50</v>
      </c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</row>
    <row r="62" spans="1:35" ht="24" customHeight="1">
      <c r="A62" s="450" t="s">
        <v>16</v>
      </c>
      <c r="B62" s="460"/>
      <c r="C62" s="460"/>
      <c r="D62" s="460"/>
      <c r="E62" s="460"/>
      <c r="F62" s="461"/>
      <c r="G62" s="91">
        <f>SUM(G12:G60)</f>
        <v>0</v>
      </c>
      <c r="H62" s="118" t="s">
        <v>159</v>
      </c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</row>
  </sheetData>
  <mergeCells count="3">
    <mergeCell ref="A62:F62"/>
    <mergeCell ref="A1:B2"/>
    <mergeCell ref="F6:G6"/>
  </mergeCells>
  <conditionalFormatting sqref="G10">
    <cfRule type="cellIs" dxfId="0" priority="1" stopIfTrue="1" operator="lessThan">
      <formula>0</formula>
    </cfRule>
  </conditionalFormatting>
  <pageMargins left="0.748031" right="0.748031" top="0.98425200000000002" bottom="0.98425200000000002" header="0.51181100000000002" footer="0.51181100000000002"/>
  <pageSetup scale="81" orientation="portrait" r:id="rId1"/>
  <headerFooter>
    <oddFooter>&amp;R&amp;"Helvetica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7"/>
  <sheetViews>
    <sheetView showGridLines="0" view="pageLayout" zoomScaleNormal="100" workbookViewId="0">
      <selection activeCell="C63" sqref="C63"/>
    </sheetView>
  </sheetViews>
  <sheetFormatPr defaultColWidth="8.81640625" defaultRowHeight="12.75" customHeight="1"/>
  <cols>
    <col min="1" max="1" width="5.7265625" style="133" customWidth="1"/>
    <col min="2" max="2" width="12.7265625" style="133" customWidth="1"/>
    <col min="3" max="3" width="45.26953125" style="133" customWidth="1"/>
    <col min="4" max="4" width="8.7265625" style="133" customWidth="1"/>
    <col min="5" max="5" width="7.7265625" style="133" customWidth="1"/>
    <col min="6" max="6" width="12.7265625" style="133" customWidth="1"/>
    <col min="7" max="7" width="14.26953125" style="133" customWidth="1"/>
    <col min="8" max="17" width="8.81640625" style="133" hidden="1" customWidth="1"/>
    <col min="18" max="18" width="8.81640625" style="133" customWidth="1"/>
    <col min="19" max="16384" width="8.81640625" style="133"/>
  </cols>
  <sheetData>
    <row r="1" spans="1:17" ht="12.75" customHeight="1">
      <c r="A1" s="462" t="s">
        <v>158</v>
      </c>
      <c r="B1" s="452"/>
      <c r="C1" s="99"/>
      <c r="D1" s="99"/>
      <c r="E1" s="99"/>
      <c r="F1" s="99"/>
      <c r="G1" s="106"/>
      <c r="H1" s="134" t="s">
        <v>159</v>
      </c>
      <c r="I1" s="99"/>
      <c r="J1" s="100" t="str">
        <f ca="1">J1</f>
        <v/>
      </c>
      <c r="K1" s="99"/>
      <c r="L1" s="99"/>
      <c r="M1" s="99"/>
      <c r="N1" s="99"/>
      <c r="O1" s="99"/>
      <c r="P1" s="99"/>
      <c r="Q1" s="99"/>
    </row>
    <row r="2" spans="1:17" ht="12.75" customHeight="1">
      <c r="A2" s="452"/>
      <c r="B2" s="452"/>
      <c r="C2" s="99"/>
      <c r="D2" s="99"/>
      <c r="E2" s="99"/>
      <c r="F2" s="99"/>
      <c r="G2" s="98">
        <f>G1</f>
        <v>0</v>
      </c>
      <c r="H2" s="134" t="s">
        <v>160</v>
      </c>
      <c r="I2" s="135" t="str">
        <f ca="1">I2</f>
        <v/>
      </c>
      <c r="J2" s="105">
        <v>0.8</v>
      </c>
      <c r="K2" s="99"/>
      <c r="L2" s="136">
        <f t="shared" ref="L2:M4" si="0">K2</f>
        <v>0</v>
      </c>
      <c r="M2" s="105">
        <f t="shared" si="0"/>
        <v>0</v>
      </c>
      <c r="N2" s="99"/>
      <c r="O2" s="99"/>
      <c r="P2" s="99"/>
      <c r="Q2" s="99"/>
    </row>
    <row r="3" spans="1:17" ht="12.75" customHeight="1">
      <c r="A3" s="106"/>
      <c r="B3" s="99"/>
      <c r="C3" s="99"/>
      <c r="D3" s="99"/>
      <c r="E3" s="99"/>
      <c r="F3" s="99"/>
      <c r="G3" s="26"/>
      <c r="H3" s="134" t="s">
        <v>163</v>
      </c>
      <c r="I3" s="135" t="str">
        <f ca="1">I3</f>
        <v/>
      </c>
      <c r="J3" s="103" t="str">
        <f ca="1">J3</f>
        <v/>
      </c>
      <c r="K3" s="99"/>
      <c r="L3" s="136">
        <f t="shared" si="0"/>
        <v>0</v>
      </c>
      <c r="M3" s="105">
        <f t="shared" si="0"/>
        <v>0</v>
      </c>
      <c r="N3" s="99"/>
      <c r="O3" s="99"/>
      <c r="P3" s="99"/>
      <c r="Q3" s="99"/>
    </row>
    <row r="4" spans="1:17" ht="12.75" customHeight="1">
      <c r="A4" s="106"/>
      <c r="B4" s="122"/>
      <c r="C4" s="29" t="str">
        <f>C10</f>
        <v>SCHEDULE 3:</v>
      </c>
      <c r="D4" s="99"/>
      <c r="E4" s="137"/>
      <c r="F4" s="138"/>
      <c r="G4" s="29" t="s">
        <v>184</v>
      </c>
      <c r="H4" s="134" t="s">
        <v>167</v>
      </c>
      <c r="I4" s="135" t="str">
        <f ca="1">I4</f>
        <v/>
      </c>
      <c r="J4" s="103" t="str">
        <f ca="1">J4</f>
        <v/>
      </c>
      <c r="K4" s="99"/>
      <c r="L4" s="136">
        <f t="shared" si="0"/>
        <v>0</v>
      </c>
      <c r="M4" s="103">
        <f t="shared" si="0"/>
        <v>0</v>
      </c>
      <c r="N4" s="99"/>
      <c r="O4" s="99"/>
      <c r="P4" s="99"/>
      <c r="Q4" s="99"/>
    </row>
    <row r="5" spans="1:17" ht="12.75" customHeight="1">
      <c r="A5" s="106"/>
      <c r="B5" s="122"/>
      <c r="C5" s="109"/>
      <c r="D5" s="122"/>
      <c r="E5" s="137"/>
      <c r="F5" s="138"/>
      <c r="G5" s="24"/>
      <c r="H5" s="134" t="s">
        <v>170</v>
      </c>
      <c r="I5" s="131"/>
      <c r="J5" s="99"/>
      <c r="K5" s="99"/>
      <c r="L5" s="136">
        <f>K5</f>
        <v>0</v>
      </c>
      <c r="M5" s="105">
        <v>1</v>
      </c>
      <c r="N5" s="99"/>
      <c r="O5" s="99"/>
      <c r="P5" s="99"/>
      <c r="Q5" s="99"/>
    </row>
    <row r="6" spans="1:17" ht="12.75" customHeight="1">
      <c r="A6" s="114"/>
      <c r="B6" s="117"/>
      <c r="C6" s="139"/>
      <c r="D6" s="117"/>
      <c r="E6" s="140"/>
      <c r="F6" s="463"/>
      <c r="G6" s="463"/>
      <c r="H6" s="134" t="s">
        <v>172</v>
      </c>
      <c r="I6" s="99"/>
      <c r="J6" s="99"/>
      <c r="K6" s="99"/>
      <c r="L6" s="104" t="s">
        <v>185</v>
      </c>
      <c r="M6" s="105">
        <v>0.3</v>
      </c>
      <c r="N6" s="99"/>
      <c r="O6" s="99"/>
      <c r="P6" s="99"/>
      <c r="Q6" s="99"/>
    </row>
    <row r="7" spans="1:17" ht="12.75" customHeight="1">
      <c r="A7" s="141"/>
      <c r="B7" s="142" t="s">
        <v>17</v>
      </c>
      <c r="C7" s="141"/>
      <c r="D7" s="141"/>
      <c r="E7" s="143"/>
      <c r="F7" s="142" t="s">
        <v>18</v>
      </c>
      <c r="G7" s="142" t="s">
        <v>19</v>
      </c>
      <c r="H7" s="144" t="s">
        <v>173</v>
      </c>
      <c r="I7" s="99"/>
      <c r="J7" s="99"/>
      <c r="K7" s="99"/>
      <c r="L7" s="104" t="s">
        <v>186</v>
      </c>
      <c r="M7" s="145">
        <v>0.2</v>
      </c>
      <c r="N7" s="99"/>
      <c r="O7" s="99"/>
      <c r="P7" s="99"/>
      <c r="Q7" s="99"/>
    </row>
    <row r="8" spans="1:17" ht="12.75" customHeight="1">
      <c r="A8" s="146" t="s">
        <v>20</v>
      </c>
      <c r="B8" s="146" t="s">
        <v>21</v>
      </c>
      <c r="C8" s="146" t="s">
        <v>22</v>
      </c>
      <c r="D8" s="146" t="s">
        <v>23</v>
      </c>
      <c r="E8" s="146" t="s">
        <v>24</v>
      </c>
      <c r="F8" s="146" t="s">
        <v>187</v>
      </c>
      <c r="G8" s="146" t="s">
        <v>187</v>
      </c>
      <c r="H8" s="144" t="s">
        <v>174</v>
      </c>
      <c r="I8" s="99"/>
      <c r="J8" s="99"/>
      <c r="K8" s="99"/>
      <c r="L8" s="104" t="s">
        <v>188</v>
      </c>
      <c r="M8" s="147">
        <v>128</v>
      </c>
      <c r="N8" s="102" t="s">
        <v>189</v>
      </c>
      <c r="O8" s="99"/>
      <c r="P8" s="99"/>
      <c r="Q8" s="99"/>
    </row>
    <row r="9" spans="1:17" ht="12.75" customHeight="1">
      <c r="A9" s="141"/>
      <c r="B9" s="141"/>
      <c r="C9" s="148"/>
      <c r="D9" s="141"/>
      <c r="E9" s="149"/>
      <c r="F9" s="150"/>
      <c r="G9" s="150"/>
      <c r="H9" s="151">
        <v>1</v>
      </c>
      <c r="I9" s="99"/>
      <c r="J9" s="99"/>
      <c r="K9" s="99"/>
      <c r="L9" s="99"/>
      <c r="M9" s="152"/>
      <c r="N9" s="99"/>
      <c r="O9" s="99"/>
      <c r="P9" s="99"/>
      <c r="Q9" s="99"/>
    </row>
    <row r="10" spans="1:17" ht="12.75" customHeight="1">
      <c r="A10" s="153">
        <v>3</v>
      </c>
      <c r="B10" s="154" t="s">
        <v>26</v>
      </c>
      <c r="C10" s="155" t="s">
        <v>190</v>
      </c>
      <c r="D10" s="156"/>
      <c r="E10" s="157"/>
      <c r="F10" s="158"/>
      <c r="G10" s="158"/>
      <c r="H10" s="151">
        <v>2</v>
      </c>
      <c r="I10" s="99"/>
      <c r="J10" s="99"/>
      <c r="K10" s="99"/>
      <c r="L10" s="99"/>
      <c r="M10" s="99"/>
      <c r="N10" s="99"/>
      <c r="O10" s="99"/>
      <c r="P10" s="99"/>
      <c r="Q10" s="99"/>
    </row>
    <row r="11" spans="1:17" ht="12.75" customHeight="1">
      <c r="A11" s="156"/>
      <c r="B11" s="40"/>
      <c r="C11" s="155" t="s">
        <v>184</v>
      </c>
      <c r="D11" s="156"/>
      <c r="E11" s="157"/>
      <c r="F11" s="159"/>
      <c r="G11" s="159"/>
      <c r="H11" s="151">
        <v>3</v>
      </c>
      <c r="I11" s="99"/>
      <c r="J11" s="99"/>
      <c r="K11" s="99"/>
      <c r="L11" s="99"/>
      <c r="M11" s="99"/>
      <c r="N11" s="99"/>
      <c r="O11" s="99"/>
      <c r="P11" s="99"/>
      <c r="Q11" s="99"/>
    </row>
    <row r="12" spans="1:17" ht="12.75" customHeight="1">
      <c r="A12" s="156"/>
      <c r="B12" s="156"/>
      <c r="C12" s="160"/>
      <c r="D12" s="156"/>
      <c r="E12" s="157"/>
      <c r="F12" s="159"/>
      <c r="G12" s="159"/>
      <c r="H12" s="151">
        <v>4</v>
      </c>
      <c r="I12" s="99"/>
      <c r="J12" s="99"/>
      <c r="K12" s="99"/>
      <c r="L12" s="99"/>
      <c r="M12" s="99"/>
      <c r="N12" s="99"/>
      <c r="O12" s="99"/>
      <c r="P12" s="99"/>
      <c r="Q12" s="99"/>
    </row>
    <row r="13" spans="1:17" ht="12.75" customHeight="1">
      <c r="A13" s="153">
        <v>3.1</v>
      </c>
      <c r="B13" s="154" t="s">
        <v>191</v>
      </c>
      <c r="C13" s="161" t="s">
        <v>192</v>
      </c>
      <c r="D13" s="156"/>
      <c r="E13" s="157"/>
      <c r="F13" s="158"/>
      <c r="G13" s="158"/>
      <c r="H13" s="151">
        <v>5</v>
      </c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.75" customHeight="1">
      <c r="A14" s="156"/>
      <c r="B14" s="156"/>
      <c r="C14" s="162"/>
      <c r="D14" s="156"/>
      <c r="E14" s="157"/>
      <c r="F14" s="159"/>
      <c r="G14" s="159"/>
      <c r="H14" s="151">
        <v>6</v>
      </c>
      <c r="I14" s="99"/>
      <c r="J14" s="99"/>
      <c r="K14" s="99"/>
      <c r="L14" s="99"/>
      <c r="M14" s="99"/>
      <c r="N14" s="99"/>
      <c r="O14" s="99"/>
      <c r="P14" s="99"/>
      <c r="Q14" s="99"/>
    </row>
    <row r="15" spans="1:17" ht="12.75" customHeight="1">
      <c r="A15" s="156"/>
      <c r="B15" s="154" t="s">
        <v>193</v>
      </c>
      <c r="C15" s="163" t="s">
        <v>194</v>
      </c>
      <c r="D15" s="156"/>
      <c r="E15" s="157"/>
      <c r="F15" s="158"/>
      <c r="G15" s="158"/>
      <c r="H15" s="151">
        <v>7</v>
      </c>
      <c r="I15" s="99"/>
      <c r="J15" s="99"/>
      <c r="K15" s="99"/>
      <c r="L15" s="99"/>
      <c r="M15" s="99"/>
      <c r="N15" s="99"/>
      <c r="O15" s="99"/>
      <c r="P15" s="99"/>
      <c r="Q15" s="99"/>
    </row>
    <row r="16" spans="1:17" ht="12.75" customHeight="1">
      <c r="A16" s="156"/>
      <c r="B16" s="156"/>
      <c r="C16" s="163" t="s">
        <v>195</v>
      </c>
      <c r="D16" s="156"/>
      <c r="E16" s="157"/>
      <c r="F16" s="158"/>
      <c r="G16" s="158"/>
      <c r="H16" s="151">
        <v>8</v>
      </c>
      <c r="I16" s="99"/>
      <c r="J16" s="99"/>
      <c r="K16" s="99"/>
      <c r="L16" s="99"/>
      <c r="M16" s="99"/>
      <c r="N16" s="99"/>
      <c r="O16" s="99"/>
      <c r="P16" s="99"/>
      <c r="Q16" s="99"/>
    </row>
    <row r="17" spans="1:17" ht="12.75" customHeight="1">
      <c r="A17" s="156"/>
      <c r="B17" s="156"/>
      <c r="C17" s="162"/>
      <c r="D17" s="156"/>
      <c r="E17" s="157"/>
      <c r="F17" s="158"/>
      <c r="G17" s="158"/>
      <c r="H17" s="164"/>
      <c r="I17" s="99"/>
      <c r="J17" s="99"/>
      <c r="K17" s="99"/>
      <c r="L17" s="99"/>
      <c r="M17" s="99"/>
      <c r="N17" s="99"/>
      <c r="O17" s="99"/>
      <c r="P17" s="99"/>
      <c r="Q17" s="99"/>
    </row>
    <row r="18" spans="1:17" ht="12.75" customHeight="1">
      <c r="A18" s="156"/>
      <c r="B18" s="156"/>
      <c r="C18" s="163" t="s">
        <v>196</v>
      </c>
      <c r="D18" s="156"/>
      <c r="E18" s="157"/>
      <c r="F18" s="158"/>
      <c r="G18" s="158"/>
      <c r="H18" s="164"/>
      <c r="I18" s="99"/>
      <c r="J18" s="99"/>
      <c r="K18" s="99"/>
      <c r="L18" s="99"/>
      <c r="M18" s="99"/>
      <c r="N18" s="99"/>
      <c r="O18" s="99"/>
      <c r="P18" s="99"/>
      <c r="Q18" s="99"/>
    </row>
    <row r="19" spans="1:17" ht="12.75" customHeight="1">
      <c r="A19" s="156"/>
      <c r="B19" s="156"/>
      <c r="C19" s="45" t="s">
        <v>197</v>
      </c>
      <c r="D19" s="156"/>
      <c r="E19" s="157"/>
      <c r="F19" s="158"/>
      <c r="G19" s="158"/>
      <c r="H19" s="151">
        <v>9</v>
      </c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2.75" customHeight="1">
      <c r="A20" s="40"/>
      <c r="B20" s="40"/>
      <c r="C20" s="43"/>
      <c r="D20" s="40"/>
      <c r="E20" s="165"/>
      <c r="F20" s="66"/>
      <c r="G20" s="46"/>
      <c r="H20" s="151">
        <v>10</v>
      </c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2.75" customHeight="1">
      <c r="A21" s="40"/>
      <c r="B21" s="156"/>
      <c r="C21" s="163" t="s">
        <v>198</v>
      </c>
      <c r="D21" s="154" t="s">
        <v>179</v>
      </c>
      <c r="E21" s="157">
        <f>(Summary!E22+Summary!E24+Summary!E26)*0.7</f>
        <v>0</v>
      </c>
      <c r="F21" s="158"/>
      <c r="G21" s="46"/>
      <c r="H21" s="151">
        <v>17</v>
      </c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2.75" customHeight="1">
      <c r="A22" s="40"/>
      <c r="B22" s="156"/>
      <c r="C22" s="162"/>
      <c r="D22" s="156"/>
      <c r="E22" s="157"/>
      <c r="F22" s="158"/>
      <c r="G22" s="46"/>
      <c r="H22" s="164"/>
      <c r="I22" s="99"/>
      <c r="J22" s="99"/>
      <c r="K22" s="99"/>
      <c r="L22" s="99"/>
      <c r="M22" s="99"/>
      <c r="N22" s="99"/>
      <c r="O22" s="99"/>
      <c r="P22" s="99"/>
      <c r="Q22" s="99"/>
    </row>
    <row r="23" spans="1:17" ht="12.75" customHeight="1">
      <c r="A23" s="40"/>
      <c r="B23" s="156"/>
      <c r="C23" s="163" t="s">
        <v>199</v>
      </c>
      <c r="D23" s="154" t="s">
        <v>179</v>
      </c>
      <c r="E23" s="157">
        <f>(Summary!E22+Summary!E24+Summary!E26)*0.3</f>
        <v>0</v>
      </c>
      <c r="F23" s="158">
        <v>94.9</v>
      </c>
      <c r="G23" s="51" t="s">
        <v>54</v>
      </c>
      <c r="H23" s="164"/>
      <c r="I23" s="99"/>
      <c r="J23" s="99"/>
      <c r="K23" s="99"/>
      <c r="L23" s="99"/>
      <c r="M23" s="99"/>
      <c r="N23" s="99"/>
      <c r="O23" s="99"/>
      <c r="P23" s="99"/>
      <c r="Q23" s="99"/>
    </row>
    <row r="24" spans="1:17" ht="12.75" customHeight="1">
      <c r="A24" s="40"/>
      <c r="B24" s="156"/>
      <c r="C24" s="162"/>
      <c r="D24" s="156"/>
      <c r="E24" s="157"/>
      <c r="F24" s="158"/>
      <c r="G24" s="46"/>
      <c r="H24" s="164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2.75" customHeight="1">
      <c r="A25" s="44">
        <v>3.2</v>
      </c>
      <c r="B25" s="41" t="s">
        <v>35</v>
      </c>
      <c r="C25" s="45" t="s">
        <v>200</v>
      </c>
      <c r="D25" s="40"/>
      <c r="E25" s="165"/>
      <c r="F25" s="66"/>
      <c r="G25" s="46"/>
      <c r="H25" s="151">
        <v>23</v>
      </c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.75" customHeight="1">
      <c r="A26" s="156"/>
      <c r="B26" s="156"/>
      <c r="C26" s="166"/>
      <c r="D26" s="40"/>
      <c r="E26" s="165"/>
      <c r="F26" s="66"/>
      <c r="G26" s="46"/>
      <c r="H26" s="151">
        <v>24</v>
      </c>
      <c r="I26" s="99"/>
      <c r="J26" s="99"/>
      <c r="K26" s="99"/>
      <c r="L26" s="99"/>
      <c r="M26" s="99"/>
      <c r="N26" s="99"/>
      <c r="O26" s="99"/>
      <c r="P26" s="99"/>
      <c r="Q26" s="99"/>
    </row>
    <row r="27" spans="1:17" ht="12.75" customHeight="1">
      <c r="A27" s="156"/>
      <c r="B27" s="156"/>
      <c r="C27" s="163" t="s">
        <v>201</v>
      </c>
      <c r="D27" s="154" t="s">
        <v>202</v>
      </c>
      <c r="E27" s="157">
        <f>E21*0.6*0.6</f>
        <v>0</v>
      </c>
      <c r="F27" s="159"/>
      <c r="G27" s="46"/>
      <c r="H27" s="151">
        <v>25</v>
      </c>
      <c r="I27" s="99"/>
      <c r="J27" s="99"/>
      <c r="K27" s="99"/>
      <c r="L27" s="99"/>
      <c r="M27" s="99"/>
      <c r="N27" s="99"/>
      <c r="O27" s="99"/>
      <c r="P27" s="99"/>
      <c r="Q27" s="99"/>
    </row>
    <row r="28" spans="1:17" ht="12.75" customHeight="1">
      <c r="A28" s="156"/>
      <c r="B28" s="156"/>
      <c r="C28" s="162"/>
      <c r="D28" s="156"/>
      <c r="E28" s="157"/>
      <c r="F28" s="159"/>
      <c r="G28" s="46"/>
      <c r="H28" s="164"/>
      <c r="I28" s="99"/>
      <c r="J28" s="99"/>
      <c r="K28" s="99"/>
      <c r="L28" s="99"/>
      <c r="M28" s="99"/>
      <c r="N28" s="99"/>
      <c r="O28" s="99"/>
      <c r="P28" s="99"/>
      <c r="Q28" s="99"/>
    </row>
    <row r="29" spans="1:17" ht="12.75" customHeight="1">
      <c r="A29" s="156"/>
      <c r="B29" s="156"/>
      <c r="C29" s="163" t="s">
        <v>203</v>
      </c>
      <c r="D29" s="154" t="s">
        <v>202</v>
      </c>
      <c r="E29" s="157">
        <f>E21*0.6*0.7</f>
        <v>0</v>
      </c>
      <c r="F29" s="159"/>
      <c r="G29" s="46"/>
      <c r="H29" s="164"/>
      <c r="I29" s="99"/>
      <c r="J29" s="99"/>
      <c r="K29" s="99"/>
      <c r="L29" s="99"/>
      <c r="M29" s="99"/>
      <c r="N29" s="99"/>
      <c r="O29" s="99"/>
      <c r="P29" s="99"/>
      <c r="Q29" s="99"/>
    </row>
    <row r="30" spans="1:17" ht="12.75" customHeight="1">
      <c r="A30" s="156"/>
      <c r="B30" s="156"/>
      <c r="C30" s="162"/>
      <c r="D30" s="156"/>
      <c r="E30" s="157"/>
      <c r="F30" s="158"/>
      <c r="G30" s="46"/>
      <c r="H30" s="151">
        <v>28</v>
      </c>
      <c r="I30" s="99"/>
      <c r="J30" s="99"/>
      <c r="K30" s="99"/>
      <c r="L30" s="99"/>
      <c r="M30" s="99"/>
      <c r="N30" s="99"/>
      <c r="O30" s="99"/>
      <c r="P30" s="99"/>
      <c r="Q30" s="99"/>
    </row>
    <row r="31" spans="1:17" ht="12.75" customHeight="1">
      <c r="A31" s="153">
        <v>3.3</v>
      </c>
      <c r="B31" s="154" t="s">
        <v>35</v>
      </c>
      <c r="C31" s="45" t="s">
        <v>204</v>
      </c>
      <c r="D31" s="40"/>
      <c r="E31" s="165"/>
      <c r="F31" s="66"/>
      <c r="G31" s="46"/>
      <c r="H31" s="151">
        <v>29</v>
      </c>
      <c r="I31" s="99"/>
      <c r="J31" s="99"/>
      <c r="K31" s="99"/>
      <c r="L31" s="99"/>
      <c r="M31" s="99"/>
      <c r="N31" s="99"/>
      <c r="O31" s="99"/>
      <c r="P31" s="99"/>
      <c r="Q31" s="99"/>
    </row>
    <row r="32" spans="1:17" ht="12.75" customHeight="1">
      <c r="A32" s="156"/>
      <c r="B32" s="156"/>
      <c r="C32" s="163" t="s">
        <v>205</v>
      </c>
      <c r="D32" s="154" t="s">
        <v>202</v>
      </c>
      <c r="E32" s="157">
        <f>18600*0.3</f>
        <v>5580</v>
      </c>
      <c r="F32" s="159"/>
      <c r="G32" s="46"/>
      <c r="H32" s="151">
        <v>30</v>
      </c>
      <c r="I32" s="99"/>
      <c r="J32" s="167">
        <v>0.35</v>
      </c>
      <c r="K32" s="99"/>
      <c r="L32" s="99"/>
      <c r="M32" s="99"/>
      <c r="N32" s="99"/>
      <c r="O32" s="99"/>
      <c r="P32" s="99"/>
      <c r="Q32" s="99"/>
    </row>
    <row r="33" spans="1:17" ht="12.75" customHeight="1">
      <c r="A33" s="156"/>
      <c r="B33" s="156"/>
      <c r="C33" s="166"/>
      <c r="D33" s="156"/>
      <c r="E33" s="157"/>
      <c r="F33" s="159"/>
      <c r="G33" s="46"/>
      <c r="H33" s="151">
        <v>31</v>
      </c>
      <c r="I33" s="99"/>
      <c r="J33" s="99"/>
      <c r="K33" s="99"/>
      <c r="L33" s="99"/>
      <c r="M33" s="99"/>
      <c r="N33" s="99"/>
      <c r="O33" s="99"/>
      <c r="P33" s="99"/>
      <c r="Q33" s="99"/>
    </row>
    <row r="34" spans="1:17" ht="12.75" customHeight="1">
      <c r="A34" s="153">
        <v>3.4</v>
      </c>
      <c r="B34" s="154" t="s">
        <v>56</v>
      </c>
      <c r="C34" s="161" t="s">
        <v>206</v>
      </c>
      <c r="D34" s="156"/>
      <c r="E34" s="168"/>
      <c r="F34" s="159"/>
      <c r="G34" s="159"/>
      <c r="H34" s="169"/>
      <c r="I34" s="99"/>
      <c r="J34" s="99"/>
      <c r="K34" s="99"/>
      <c r="L34" s="99"/>
      <c r="M34" s="99"/>
      <c r="N34" s="99"/>
      <c r="O34" s="99"/>
      <c r="P34" s="99"/>
      <c r="Q34" s="99"/>
    </row>
    <row r="35" spans="1:17" ht="12.75" customHeight="1">
      <c r="A35" s="156"/>
      <c r="B35" s="156"/>
      <c r="C35" s="162"/>
      <c r="D35" s="156"/>
      <c r="E35" s="170"/>
      <c r="F35" s="158"/>
      <c r="G35" s="46"/>
      <c r="H35" s="169">
        <f>H34+1</f>
        <v>1</v>
      </c>
      <c r="I35" s="99"/>
      <c r="J35" s="99"/>
      <c r="K35" s="99"/>
      <c r="L35" s="99"/>
      <c r="M35" s="99"/>
      <c r="N35" s="99"/>
      <c r="O35" s="99"/>
      <c r="P35" s="99"/>
      <c r="Q35" s="99"/>
    </row>
    <row r="36" spans="1:17" ht="12.75" customHeight="1">
      <c r="A36" s="153">
        <v>3.5</v>
      </c>
      <c r="B36" s="154" t="s">
        <v>207</v>
      </c>
      <c r="C36" s="163" t="s">
        <v>208</v>
      </c>
      <c r="D36" s="154" t="s">
        <v>202</v>
      </c>
      <c r="E36" s="157">
        <v>2560</v>
      </c>
      <c r="F36" s="159"/>
      <c r="G36" s="46"/>
      <c r="H36" s="169"/>
      <c r="I36" s="99"/>
      <c r="J36" s="167">
        <v>0.1</v>
      </c>
      <c r="K36" s="99"/>
      <c r="L36" s="99"/>
      <c r="M36" s="99"/>
      <c r="N36" s="99"/>
      <c r="O36" s="99"/>
      <c r="P36" s="99"/>
      <c r="Q36" s="99"/>
    </row>
    <row r="37" spans="1:17" ht="12.75" customHeight="1">
      <c r="A37" s="156"/>
      <c r="B37" s="156"/>
      <c r="C37" s="162"/>
      <c r="D37" s="156"/>
      <c r="E37" s="157"/>
      <c r="F37" s="158"/>
      <c r="G37" s="46"/>
      <c r="H37" s="169">
        <f>H36+1</f>
        <v>1</v>
      </c>
      <c r="I37" s="99"/>
      <c r="J37" s="99"/>
      <c r="K37" s="99"/>
      <c r="L37" s="99"/>
      <c r="M37" s="99"/>
      <c r="N37" s="99"/>
      <c r="O37" s="99"/>
      <c r="P37" s="99"/>
      <c r="Q37" s="99"/>
    </row>
    <row r="38" spans="1:17" ht="12.75" customHeight="1">
      <c r="A38" s="171">
        <v>3.6</v>
      </c>
      <c r="B38" s="154" t="s">
        <v>209</v>
      </c>
      <c r="C38" s="163" t="s">
        <v>210</v>
      </c>
      <c r="D38" s="156"/>
      <c r="E38" s="157"/>
      <c r="F38" s="158"/>
      <c r="G38" s="46"/>
      <c r="H38" s="169"/>
      <c r="I38" s="99"/>
      <c r="J38" s="99"/>
      <c r="K38" s="99"/>
      <c r="L38" s="99"/>
      <c r="M38" s="99"/>
      <c r="N38" s="99"/>
      <c r="O38" s="99"/>
      <c r="P38" s="99"/>
      <c r="Q38" s="99"/>
    </row>
    <row r="39" spans="1:17" ht="12.75" customHeight="1">
      <c r="A39" s="156"/>
      <c r="B39" s="156"/>
      <c r="C39" s="162"/>
      <c r="D39" s="156"/>
      <c r="E39" s="157"/>
      <c r="F39" s="159"/>
      <c r="G39" s="46"/>
      <c r="H39" s="169">
        <f t="shared" ref="H39:H52" si="1">H38+1</f>
        <v>1</v>
      </c>
      <c r="I39" s="99"/>
      <c r="J39" s="99"/>
      <c r="K39" s="99"/>
      <c r="L39" s="99"/>
      <c r="M39" s="99"/>
      <c r="N39" s="99"/>
      <c r="O39" s="99"/>
      <c r="P39" s="99"/>
      <c r="Q39" s="99"/>
    </row>
    <row r="40" spans="1:17" ht="12.75" customHeight="1">
      <c r="A40" s="156"/>
      <c r="B40" s="156"/>
      <c r="C40" s="163" t="s">
        <v>211</v>
      </c>
      <c r="D40" s="154" t="s">
        <v>212</v>
      </c>
      <c r="E40" s="157">
        <v>120</v>
      </c>
      <c r="F40" s="159"/>
      <c r="G40" s="46"/>
      <c r="H40" s="169">
        <f t="shared" si="1"/>
        <v>2</v>
      </c>
      <c r="I40" s="99"/>
      <c r="J40" s="99"/>
      <c r="K40" s="99"/>
      <c r="L40" s="99"/>
      <c r="M40" s="99"/>
      <c r="N40" s="99"/>
      <c r="O40" s="99"/>
      <c r="P40" s="99"/>
      <c r="Q40" s="99"/>
    </row>
    <row r="41" spans="1:17" ht="12.75" customHeight="1">
      <c r="A41" s="156"/>
      <c r="B41" s="156"/>
      <c r="C41" s="162"/>
      <c r="D41" s="156"/>
      <c r="E41" s="157"/>
      <c r="F41" s="158"/>
      <c r="G41" s="46"/>
      <c r="H41" s="169">
        <f t="shared" si="1"/>
        <v>3</v>
      </c>
      <c r="I41" s="99"/>
      <c r="J41" s="99"/>
      <c r="K41" s="99"/>
      <c r="L41" s="99"/>
      <c r="M41" s="99"/>
      <c r="N41" s="99"/>
      <c r="O41" s="99"/>
      <c r="P41" s="99"/>
      <c r="Q41" s="99"/>
    </row>
    <row r="42" spans="1:17" ht="12.75" customHeight="1">
      <c r="A42" s="156"/>
      <c r="B42" s="156"/>
      <c r="C42" s="163" t="s">
        <v>213</v>
      </c>
      <c r="D42" s="154" t="s">
        <v>179</v>
      </c>
      <c r="E42" s="157">
        <v>3500</v>
      </c>
      <c r="F42" s="159"/>
      <c r="G42" s="46"/>
      <c r="H42" s="169">
        <f t="shared" si="1"/>
        <v>4</v>
      </c>
      <c r="I42" s="99"/>
      <c r="J42" s="99"/>
      <c r="K42" s="99"/>
      <c r="L42" s="99"/>
      <c r="M42" s="99"/>
      <c r="N42" s="99"/>
      <c r="O42" s="99"/>
      <c r="P42" s="99"/>
      <c r="Q42" s="99"/>
    </row>
    <row r="43" spans="1:17" ht="12.75" customHeight="1">
      <c r="A43" s="40"/>
      <c r="B43" s="40"/>
      <c r="C43" s="43"/>
      <c r="D43" s="40"/>
      <c r="E43" s="165"/>
      <c r="F43" s="66"/>
      <c r="G43" s="46"/>
      <c r="H43" s="169">
        <f t="shared" si="1"/>
        <v>5</v>
      </c>
      <c r="I43" s="99"/>
      <c r="J43" s="99"/>
      <c r="K43" s="99"/>
      <c r="L43" s="99"/>
      <c r="M43" s="99"/>
      <c r="N43" s="99"/>
      <c r="O43" s="99"/>
      <c r="P43" s="99"/>
      <c r="Q43" s="99"/>
    </row>
    <row r="44" spans="1:17" ht="12.75" customHeight="1">
      <c r="A44" s="156"/>
      <c r="B44" s="154" t="s">
        <v>214</v>
      </c>
      <c r="C44" s="161" t="s">
        <v>215</v>
      </c>
      <c r="D44" s="156"/>
      <c r="E44" s="157"/>
      <c r="F44" s="158"/>
      <c r="G44" s="46"/>
      <c r="H44" s="169">
        <f t="shared" si="1"/>
        <v>6</v>
      </c>
      <c r="I44" s="99"/>
      <c r="J44" s="99"/>
      <c r="K44" s="99"/>
      <c r="L44" s="99"/>
      <c r="M44" s="99"/>
      <c r="N44" s="99"/>
      <c r="O44" s="99"/>
      <c r="P44" s="99"/>
      <c r="Q44" s="99"/>
    </row>
    <row r="45" spans="1:17" ht="12.75" customHeight="1">
      <c r="A45" s="156"/>
      <c r="B45" s="156"/>
      <c r="C45" s="162"/>
      <c r="D45" s="156"/>
      <c r="E45" s="157"/>
      <c r="F45" s="159"/>
      <c r="G45" s="46"/>
      <c r="H45" s="169">
        <f t="shared" si="1"/>
        <v>7</v>
      </c>
      <c r="I45" s="99"/>
      <c r="J45" s="99"/>
      <c r="K45" s="99"/>
      <c r="L45" s="99"/>
      <c r="M45" s="99"/>
      <c r="N45" s="99"/>
      <c r="O45" s="99"/>
      <c r="P45" s="99"/>
      <c r="Q45" s="99"/>
    </row>
    <row r="46" spans="1:17" ht="12.75" customHeight="1">
      <c r="A46" s="153">
        <v>3.7</v>
      </c>
      <c r="B46" s="154" t="s">
        <v>177</v>
      </c>
      <c r="C46" s="163" t="s">
        <v>216</v>
      </c>
      <c r="D46" s="156"/>
      <c r="E46" s="157"/>
      <c r="F46" s="158"/>
      <c r="G46" s="46"/>
      <c r="H46" s="169">
        <f t="shared" si="1"/>
        <v>8</v>
      </c>
      <c r="I46" s="99"/>
      <c r="J46" s="99"/>
      <c r="K46" s="99"/>
      <c r="L46" s="99"/>
      <c r="M46" s="99"/>
      <c r="N46" s="99"/>
      <c r="O46" s="99"/>
      <c r="P46" s="99"/>
      <c r="Q46" s="99"/>
    </row>
    <row r="47" spans="1:17" ht="12.75" customHeight="1">
      <c r="A47" s="156"/>
      <c r="B47" s="156"/>
      <c r="C47" s="163" t="s">
        <v>217</v>
      </c>
      <c r="D47" s="156"/>
      <c r="E47" s="157"/>
      <c r="F47" s="159"/>
      <c r="G47" s="46"/>
      <c r="H47" s="169">
        <f t="shared" si="1"/>
        <v>9</v>
      </c>
      <c r="I47" s="99"/>
      <c r="J47" s="99"/>
      <c r="K47" s="99"/>
      <c r="L47" s="99"/>
      <c r="M47" s="99"/>
      <c r="N47" s="99"/>
      <c r="O47" s="99"/>
      <c r="P47" s="99"/>
      <c r="Q47" s="99"/>
    </row>
    <row r="48" spans="1:17" ht="12.75" customHeight="1">
      <c r="A48" s="156"/>
      <c r="B48" s="156"/>
      <c r="C48" s="162"/>
      <c r="D48" s="156"/>
      <c r="E48" s="157"/>
      <c r="F48" s="158"/>
      <c r="G48" s="46"/>
      <c r="H48" s="169">
        <f t="shared" si="1"/>
        <v>10</v>
      </c>
      <c r="I48" s="99"/>
      <c r="J48" s="99"/>
      <c r="K48" s="99"/>
      <c r="L48" s="99"/>
      <c r="M48" s="99"/>
      <c r="N48" s="99"/>
      <c r="O48" s="99"/>
      <c r="P48" s="99"/>
      <c r="Q48" s="99"/>
    </row>
    <row r="49" spans="1:17" ht="12.75" customHeight="1">
      <c r="A49" s="156"/>
      <c r="B49" s="156"/>
      <c r="C49" s="163" t="s">
        <v>218</v>
      </c>
      <c r="D49" s="154" t="s">
        <v>202</v>
      </c>
      <c r="E49" s="165">
        <f>E21*0.3*0.6</f>
        <v>0</v>
      </c>
      <c r="F49" s="159"/>
      <c r="G49" s="46"/>
      <c r="H49" s="169">
        <f t="shared" si="1"/>
        <v>11</v>
      </c>
      <c r="I49" s="99"/>
      <c r="J49" s="99"/>
      <c r="K49" s="99"/>
      <c r="L49" s="99"/>
      <c r="M49" s="99"/>
      <c r="N49" s="99"/>
      <c r="O49" s="99"/>
      <c r="P49" s="99"/>
      <c r="Q49" s="99"/>
    </row>
    <row r="50" spans="1:17" ht="12.75" customHeight="1">
      <c r="A50" s="156"/>
      <c r="B50" s="156"/>
      <c r="C50" s="162"/>
      <c r="D50" s="156"/>
      <c r="E50" s="157"/>
      <c r="F50" s="159"/>
      <c r="G50" s="46"/>
      <c r="H50" s="169">
        <f t="shared" si="1"/>
        <v>12</v>
      </c>
      <c r="I50" s="172"/>
      <c r="J50" s="105">
        <v>0.15</v>
      </c>
      <c r="K50" s="99"/>
      <c r="L50" s="99"/>
      <c r="M50" s="99"/>
      <c r="N50" s="99"/>
      <c r="O50" s="99"/>
      <c r="P50" s="99"/>
      <c r="Q50" s="99"/>
    </row>
    <row r="51" spans="1:17" ht="12.75" customHeight="1">
      <c r="A51" s="156"/>
      <c r="B51" s="156"/>
      <c r="C51" s="163" t="s">
        <v>219</v>
      </c>
      <c r="D51" s="154" t="s">
        <v>202</v>
      </c>
      <c r="E51" s="165">
        <f>E21*0.6*0.7</f>
        <v>0</v>
      </c>
      <c r="F51" s="159"/>
      <c r="G51" s="46"/>
      <c r="H51" s="169">
        <f t="shared" si="1"/>
        <v>13</v>
      </c>
      <c r="I51" s="99"/>
      <c r="J51" s="99"/>
      <c r="K51" s="99"/>
      <c r="L51" s="99"/>
      <c r="M51" s="99"/>
      <c r="N51" s="99"/>
      <c r="O51" s="99"/>
      <c r="P51" s="99"/>
      <c r="Q51" s="99"/>
    </row>
    <row r="52" spans="1:17" ht="12.75" customHeight="1">
      <c r="A52" s="156"/>
      <c r="B52" s="156"/>
      <c r="C52" s="162"/>
      <c r="D52" s="156"/>
      <c r="E52" s="165"/>
      <c r="F52" s="66"/>
      <c r="G52" s="46"/>
      <c r="H52" s="169">
        <f t="shared" si="1"/>
        <v>14</v>
      </c>
      <c r="I52" s="99"/>
      <c r="J52" s="105">
        <v>0.15</v>
      </c>
      <c r="K52" s="99"/>
      <c r="L52" s="99"/>
      <c r="M52" s="99"/>
      <c r="N52" s="99"/>
      <c r="O52" s="99"/>
      <c r="P52" s="99"/>
      <c r="Q52" s="99"/>
    </row>
    <row r="53" spans="1:17" ht="12.75" customHeight="1">
      <c r="A53" s="171">
        <v>3.8</v>
      </c>
      <c r="B53" s="154" t="s">
        <v>180</v>
      </c>
      <c r="C53" s="163" t="s">
        <v>220</v>
      </c>
      <c r="D53" s="156"/>
      <c r="E53" s="157"/>
      <c r="F53" s="159"/>
      <c r="G53" s="46"/>
      <c r="H53" s="169"/>
      <c r="I53" s="99"/>
      <c r="J53" s="99"/>
      <c r="K53" s="99"/>
      <c r="L53" s="25"/>
      <c r="M53" s="99"/>
      <c r="N53" s="99"/>
      <c r="O53" s="99"/>
      <c r="P53" s="99"/>
      <c r="Q53" s="99"/>
    </row>
    <row r="54" spans="1:17" ht="12.75" customHeight="1">
      <c r="A54" s="156"/>
      <c r="B54" s="156"/>
      <c r="C54" s="162"/>
      <c r="D54" s="156"/>
      <c r="E54" s="157"/>
      <c r="F54" s="159"/>
      <c r="G54" s="46"/>
      <c r="H54" s="164"/>
      <c r="I54" s="99"/>
      <c r="J54" s="99"/>
      <c r="K54" s="99"/>
      <c r="L54" s="25"/>
      <c r="M54" s="99"/>
      <c r="N54" s="99"/>
      <c r="O54" s="99"/>
      <c r="P54" s="99"/>
      <c r="Q54" s="99"/>
    </row>
    <row r="55" spans="1:17" ht="12.75" customHeight="1">
      <c r="A55" s="156"/>
      <c r="B55" s="156"/>
      <c r="C55" s="163" t="s">
        <v>218</v>
      </c>
      <c r="D55" s="154" t="s">
        <v>202</v>
      </c>
      <c r="E55" s="165">
        <v>0</v>
      </c>
      <c r="F55" s="159">
        <v>300</v>
      </c>
      <c r="G55" s="51" t="s">
        <v>54</v>
      </c>
      <c r="H55" s="164"/>
      <c r="I55" s="99"/>
      <c r="J55" s="99"/>
      <c r="K55" s="99"/>
      <c r="L55" s="25"/>
      <c r="M55" s="99"/>
      <c r="N55" s="99"/>
      <c r="O55" s="99"/>
      <c r="P55" s="99"/>
      <c r="Q55" s="99"/>
    </row>
    <row r="56" spans="1:17" ht="12.75" customHeight="1">
      <c r="A56" s="156"/>
      <c r="B56" s="156"/>
      <c r="C56" s="162"/>
      <c r="D56" s="156"/>
      <c r="E56" s="157"/>
      <c r="F56" s="159"/>
      <c r="G56" s="46"/>
      <c r="H56" s="164"/>
      <c r="I56" s="99"/>
      <c r="J56" s="99"/>
      <c r="K56" s="99"/>
      <c r="L56" s="25"/>
      <c r="M56" s="99"/>
      <c r="N56" s="99"/>
      <c r="O56" s="99"/>
      <c r="P56" s="99"/>
      <c r="Q56" s="99"/>
    </row>
    <row r="57" spans="1:17" ht="12.75" customHeight="1">
      <c r="A57" s="156"/>
      <c r="B57" s="156"/>
      <c r="C57" s="163" t="s">
        <v>219</v>
      </c>
      <c r="D57" s="154" t="s">
        <v>202</v>
      </c>
      <c r="E57" s="165">
        <v>0</v>
      </c>
      <c r="F57" s="159">
        <v>500</v>
      </c>
      <c r="G57" s="51" t="s">
        <v>54</v>
      </c>
      <c r="H57" s="164"/>
      <c r="I57" s="99"/>
      <c r="J57" s="99"/>
      <c r="K57" s="99"/>
      <c r="L57" s="25"/>
      <c r="M57" s="99"/>
      <c r="N57" s="99"/>
      <c r="O57" s="99"/>
      <c r="P57" s="99"/>
      <c r="Q57" s="99"/>
    </row>
    <row r="58" spans="1:17" ht="12.75" customHeight="1">
      <c r="A58" s="40"/>
      <c r="B58" s="40"/>
      <c r="C58" s="43"/>
      <c r="D58" s="40"/>
      <c r="E58" s="165"/>
      <c r="F58" s="159"/>
      <c r="G58" s="46"/>
      <c r="H58" s="164"/>
      <c r="I58" s="99"/>
      <c r="J58" s="99"/>
      <c r="K58" s="99"/>
      <c r="L58" s="25"/>
      <c r="M58" s="99"/>
      <c r="N58" s="99"/>
      <c r="O58" s="99"/>
      <c r="P58" s="99"/>
      <c r="Q58" s="99"/>
    </row>
    <row r="59" spans="1:17" ht="12.75" customHeight="1">
      <c r="A59" s="153">
        <v>3.9</v>
      </c>
      <c r="B59" s="154" t="s">
        <v>221</v>
      </c>
      <c r="C59" s="163" t="s">
        <v>222</v>
      </c>
      <c r="D59" s="154" t="s">
        <v>202</v>
      </c>
      <c r="E59" s="157">
        <v>32</v>
      </c>
      <c r="F59" s="159">
        <v>2300</v>
      </c>
      <c r="G59" s="46">
        <f>E59*F59</f>
        <v>73600</v>
      </c>
      <c r="H59" s="164"/>
      <c r="I59" s="99"/>
      <c r="J59" s="99"/>
      <c r="K59" s="99"/>
      <c r="L59" s="25"/>
      <c r="M59" s="99"/>
      <c r="N59" s="99"/>
      <c r="O59" s="99"/>
      <c r="P59" s="99"/>
      <c r="Q59" s="99"/>
    </row>
    <row r="60" spans="1:17" ht="12.75" customHeight="1">
      <c r="A60" s="156"/>
      <c r="B60" s="156"/>
      <c r="C60" s="162"/>
      <c r="D60" s="156"/>
      <c r="E60" s="157"/>
      <c r="F60" s="159"/>
      <c r="G60" s="46"/>
      <c r="H60" s="164"/>
      <c r="I60" s="99"/>
      <c r="J60" s="99"/>
      <c r="K60" s="99"/>
      <c r="L60" s="25"/>
      <c r="M60" s="99"/>
      <c r="N60" s="99"/>
      <c r="O60" s="99"/>
      <c r="P60" s="99"/>
      <c r="Q60" s="99"/>
    </row>
    <row r="61" spans="1:17" ht="12.75" customHeight="1">
      <c r="A61" s="173"/>
      <c r="B61" s="156"/>
      <c r="C61" s="174"/>
      <c r="D61" s="156"/>
      <c r="E61" s="157"/>
      <c r="F61" s="159"/>
      <c r="G61" s="46"/>
      <c r="H61" s="164"/>
      <c r="I61" s="99"/>
      <c r="J61" s="99"/>
      <c r="K61" s="99"/>
      <c r="L61" s="25"/>
      <c r="M61" s="99"/>
      <c r="N61" s="99"/>
      <c r="O61" s="99"/>
      <c r="P61" s="99"/>
      <c r="Q61" s="99"/>
    </row>
    <row r="62" spans="1:17" ht="12.75" customHeight="1">
      <c r="A62" s="156"/>
      <c r="B62" s="156"/>
      <c r="C62" s="174"/>
      <c r="D62" s="156"/>
      <c r="E62" s="157"/>
      <c r="F62" s="159"/>
      <c r="G62" s="46"/>
      <c r="H62" s="164"/>
      <c r="I62" s="99"/>
      <c r="J62" s="99"/>
      <c r="K62" s="99"/>
      <c r="L62" s="25"/>
      <c r="M62" s="99"/>
      <c r="N62" s="99"/>
      <c r="O62" s="99"/>
      <c r="P62" s="99"/>
      <c r="Q62" s="99"/>
    </row>
    <row r="63" spans="1:17" ht="12.75" customHeight="1">
      <c r="A63" s="156"/>
      <c r="B63" s="156"/>
      <c r="C63" s="174"/>
      <c r="D63" s="156"/>
      <c r="E63" s="157"/>
      <c r="F63" s="159"/>
      <c r="G63" s="46"/>
      <c r="H63" s="164"/>
      <c r="I63" s="99"/>
      <c r="J63" s="99"/>
      <c r="K63" s="99"/>
      <c r="L63" s="25"/>
      <c r="M63" s="99"/>
      <c r="N63" s="99"/>
      <c r="O63" s="99"/>
      <c r="P63" s="99"/>
      <c r="Q63" s="99"/>
    </row>
    <row r="64" spans="1:17" ht="12.75" customHeight="1">
      <c r="A64" s="156"/>
      <c r="B64" s="156"/>
      <c r="C64" s="174"/>
      <c r="D64" s="156"/>
      <c r="E64" s="157"/>
      <c r="F64" s="159"/>
      <c r="G64" s="46"/>
      <c r="H64" s="164"/>
      <c r="I64" s="99"/>
      <c r="J64" s="99"/>
      <c r="K64" s="99"/>
      <c r="L64" s="25"/>
      <c r="M64" s="99"/>
      <c r="N64" s="99"/>
      <c r="O64" s="99"/>
      <c r="P64" s="99"/>
      <c r="Q64" s="99"/>
    </row>
    <row r="65" spans="1:17" ht="12.75" customHeight="1">
      <c r="A65" s="156"/>
      <c r="B65" s="156"/>
      <c r="C65" s="174"/>
      <c r="D65" s="156"/>
      <c r="E65" s="157"/>
      <c r="F65" s="159"/>
      <c r="G65" s="46"/>
      <c r="H65" s="164"/>
      <c r="I65" s="99"/>
      <c r="J65" s="99"/>
      <c r="K65" s="99"/>
      <c r="L65" s="25"/>
      <c r="M65" s="99"/>
      <c r="N65" s="99"/>
      <c r="O65" s="99"/>
      <c r="P65" s="99"/>
      <c r="Q65" s="99"/>
    </row>
    <row r="66" spans="1:17" ht="12.75" customHeight="1">
      <c r="A66" s="58"/>
      <c r="B66" s="58"/>
      <c r="C66" s="59"/>
      <c r="D66" s="58"/>
      <c r="E66" s="175"/>
      <c r="F66" s="176"/>
      <c r="G66" s="176"/>
      <c r="H66" s="169"/>
      <c r="I66" s="99"/>
      <c r="J66" s="99"/>
      <c r="K66" s="99"/>
      <c r="L66" s="99"/>
      <c r="M66" s="99"/>
      <c r="N66" s="99"/>
      <c r="O66" s="99"/>
      <c r="P66" s="99"/>
      <c r="Q66" s="99"/>
    </row>
    <row r="67" spans="1:17" ht="24" customHeight="1">
      <c r="A67" s="450" t="s">
        <v>16</v>
      </c>
      <c r="B67" s="460"/>
      <c r="C67" s="460"/>
      <c r="D67" s="460"/>
      <c r="E67" s="460"/>
      <c r="F67" s="461"/>
      <c r="G67" s="177"/>
      <c r="H67" s="144" t="s">
        <v>159</v>
      </c>
      <c r="I67" s="99"/>
      <c r="J67" s="99"/>
      <c r="K67" s="99"/>
      <c r="L67" s="99"/>
      <c r="M67" s="99"/>
      <c r="N67" s="99"/>
      <c r="O67" s="99"/>
      <c r="P67" s="99"/>
      <c r="Q67" s="99"/>
    </row>
  </sheetData>
  <mergeCells count="3">
    <mergeCell ref="A67:F67"/>
    <mergeCell ref="F6:G6"/>
    <mergeCell ref="A1:B2"/>
  </mergeCells>
  <pageMargins left="0.748031" right="0.748031" top="0.98425200000000002" bottom="0.98425200000000002" header="0.51181100000000002" footer="0.51181100000000002"/>
  <pageSetup scale="75" orientation="portrait" r:id="rId1"/>
  <headerFooter>
    <oddFooter>&amp;R&amp;"Helvetica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0"/>
  <sheetViews>
    <sheetView showGridLines="0" view="pageLayout" topLeftCell="A91" zoomScaleNormal="100" workbookViewId="0">
      <selection activeCell="C130" sqref="C129:C130"/>
    </sheetView>
  </sheetViews>
  <sheetFormatPr defaultColWidth="8.81640625" defaultRowHeight="12.75" customHeight="1"/>
  <cols>
    <col min="1" max="1" width="5.7265625" style="178" customWidth="1"/>
    <col min="2" max="2" width="12.7265625" style="178" customWidth="1"/>
    <col min="3" max="3" width="51.453125" style="178" customWidth="1"/>
    <col min="4" max="4" width="8.7265625" style="178" customWidth="1"/>
    <col min="5" max="5" width="7.7265625" style="178" customWidth="1"/>
    <col min="6" max="6" width="12.7265625" style="178" customWidth="1"/>
    <col min="7" max="7" width="15" style="178" customWidth="1"/>
    <col min="8" max="18" width="8.81640625" style="178" hidden="1" customWidth="1"/>
    <col min="19" max="19" width="8.81640625" style="178" customWidth="1"/>
    <col min="20" max="16384" width="8.81640625" style="178"/>
  </cols>
  <sheetData>
    <row r="1" spans="1:18" ht="12.75" customHeight="1">
      <c r="A1" s="462" t="s">
        <v>158</v>
      </c>
      <c r="B1" s="452"/>
      <c r="C1" s="99"/>
      <c r="D1" s="99"/>
      <c r="E1" s="99"/>
      <c r="F1" s="99"/>
      <c r="G1" s="98">
        <f ca="1">'Sched4 Wat Pipeworks'!G1</f>
        <v>0</v>
      </c>
      <c r="H1" s="135" t="s">
        <v>159</v>
      </c>
      <c r="I1" s="99"/>
      <c r="J1" s="134" t="s">
        <v>223</v>
      </c>
      <c r="K1" s="99"/>
      <c r="L1" s="99"/>
      <c r="M1" s="99"/>
      <c r="N1" s="99"/>
      <c r="O1" s="99"/>
      <c r="P1" s="99"/>
      <c r="Q1" s="99"/>
      <c r="R1" s="99"/>
    </row>
    <row r="2" spans="1:18" ht="12.75" customHeight="1">
      <c r="A2" s="452"/>
      <c r="B2" s="452"/>
      <c r="C2" s="99"/>
      <c r="D2" s="99"/>
      <c r="E2" s="99"/>
      <c r="F2" s="99"/>
      <c r="G2" s="24"/>
      <c r="H2" s="135" t="s">
        <v>160</v>
      </c>
      <c r="I2" s="104" t="str">
        <f ca="1">I2</f>
        <v/>
      </c>
      <c r="J2" s="131" t="str">
        <f ca="1">J2</f>
        <v/>
      </c>
      <c r="K2" s="131" t="str">
        <f ca="1">K2</f>
        <v/>
      </c>
      <c r="L2" s="104" t="str">
        <f ca="1">L2</f>
        <v/>
      </c>
      <c r="M2" s="131" t="str">
        <f ca="1">M2</f>
        <v/>
      </c>
      <c r="N2" s="131"/>
      <c r="O2" s="99"/>
      <c r="P2" s="99"/>
      <c r="Q2" s="99"/>
      <c r="R2" s="99"/>
    </row>
    <row r="3" spans="1:18" ht="12.75" customHeight="1">
      <c r="A3" s="21"/>
      <c r="B3" s="21"/>
      <c r="C3" s="21"/>
      <c r="D3" s="21"/>
      <c r="E3" s="21"/>
      <c r="F3" s="21"/>
      <c r="G3" s="21"/>
      <c r="H3" s="135" t="s">
        <v>163</v>
      </c>
      <c r="I3" s="104" t="str">
        <f t="shared" ref="I3:J5" ca="1" si="0">I3</f>
        <v/>
      </c>
      <c r="J3" s="111" t="str">
        <f t="shared" ca="1" si="0"/>
        <v/>
      </c>
      <c r="K3" s="99"/>
      <c r="L3" s="104" t="str">
        <f t="shared" ref="L3:M8" ca="1" si="1">L3</f>
        <v/>
      </c>
      <c r="M3" s="131" t="str">
        <f t="shared" ca="1" si="1"/>
        <v/>
      </c>
      <c r="N3" s="99"/>
      <c r="O3" s="99"/>
      <c r="P3" s="99"/>
      <c r="Q3" s="99"/>
      <c r="R3" s="99"/>
    </row>
    <row r="4" spans="1:18" ht="12.75" customHeight="1">
      <c r="A4" s="106"/>
      <c r="B4" s="122"/>
      <c r="C4" s="109"/>
      <c r="D4" s="29" t="str">
        <f>C10</f>
        <v>SCHEDULE 4:</v>
      </c>
      <c r="E4" s="96"/>
      <c r="F4" s="138"/>
      <c r="G4" s="29" t="str">
        <f>C11</f>
        <v>WATER SUPPLY - PIPEWORKS</v>
      </c>
      <c r="H4" s="135" t="s">
        <v>167</v>
      </c>
      <c r="I4" s="104" t="str">
        <f t="shared" ca="1" si="0"/>
        <v/>
      </c>
      <c r="J4" s="111" t="str">
        <f t="shared" ca="1" si="0"/>
        <v/>
      </c>
      <c r="K4" s="99"/>
      <c r="L4" s="104" t="str">
        <f t="shared" ca="1" si="1"/>
        <v/>
      </c>
      <c r="M4" s="111" t="str">
        <f t="shared" ca="1" si="1"/>
        <v/>
      </c>
      <c r="N4" s="99"/>
      <c r="O4" s="99"/>
      <c r="P4" s="99"/>
      <c r="Q4" s="99"/>
      <c r="R4" s="99"/>
    </row>
    <row r="5" spans="1:18" ht="12.75" customHeight="1">
      <c r="A5" s="106"/>
      <c r="B5" s="122"/>
      <c r="C5" s="109"/>
      <c r="D5" s="109"/>
      <c r="E5" s="96"/>
      <c r="F5" s="138"/>
      <c r="G5" s="24"/>
      <c r="H5" s="135" t="s">
        <v>170</v>
      </c>
      <c r="I5" s="123" t="str">
        <f t="shared" ca="1" si="0"/>
        <v/>
      </c>
      <c r="J5" s="131" t="str">
        <f t="shared" ca="1" si="0"/>
        <v/>
      </c>
      <c r="K5" s="99"/>
      <c r="L5" s="104" t="str">
        <f t="shared" ca="1" si="1"/>
        <v/>
      </c>
      <c r="M5" s="131" t="str">
        <f t="shared" ca="1" si="1"/>
        <v/>
      </c>
      <c r="N5" s="99"/>
      <c r="O5" s="99"/>
      <c r="P5" s="99"/>
      <c r="Q5" s="99"/>
      <c r="R5" s="99"/>
    </row>
    <row r="6" spans="1:18" ht="12.75" customHeight="1">
      <c r="A6" s="114"/>
      <c r="B6" s="117"/>
      <c r="C6" s="139"/>
      <c r="D6" s="139"/>
      <c r="E6" s="139"/>
      <c r="F6" s="463"/>
      <c r="G6" s="463"/>
      <c r="H6" s="135" t="s">
        <v>172</v>
      </c>
      <c r="I6" s="99"/>
      <c r="J6" s="99"/>
      <c r="K6" s="99"/>
      <c r="L6" s="104" t="str">
        <f t="shared" ca="1" si="1"/>
        <v/>
      </c>
      <c r="M6" s="131" t="str">
        <f t="shared" ca="1" si="1"/>
        <v/>
      </c>
      <c r="N6" s="99"/>
      <c r="O6" s="99"/>
      <c r="P6" s="99"/>
      <c r="Q6" s="99"/>
      <c r="R6" s="99"/>
    </row>
    <row r="7" spans="1:18" ht="12.75" customHeight="1">
      <c r="A7" s="141"/>
      <c r="B7" s="142" t="s">
        <v>17</v>
      </c>
      <c r="C7" s="141"/>
      <c r="D7" s="141"/>
      <c r="E7" s="141"/>
      <c r="F7" s="142" t="s">
        <v>18</v>
      </c>
      <c r="G7" s="142" t="s">
        <v>19</v>
      </c>
      <c r="H7" s="179" t="s">
        <v>173</v>
      </c>
      <c r="I7" s="99"/>
      <c r="J7" s="99"/>
      <c r="K7" s="99"/>
      <c r="L7" s="104" t="str">
        <f t="shared" ca="1" si="1"/>
        <v/>
      </c>
      <c r="M7" s="131" t="str">
        <f t="shared" ca="1" si="1"/>
        <v/>
      </c>
      <c r="N7" s="99"/>
      <c r="O7" s="99"/>
      <c r="P7" s="99"/>
      <c r="Q7" s="99"/>
      <c r="R7" s="99"/>
    </row>
    <row r="8" spans="1:18" ht="12.75" customHeight="1">
      <c r="A8" s="146" t="s">
        <v>20</v>
      </c>
      <c r="B8" s="146" t="s">
        <v>21</v>
      </c>
      <c r="C8" s="146" t="s">
        <v>22</v>
      </c>
      <c r="D8" s="146" t="s">
        <v>23</v>
      </c>
      <c r="E8" s="146" t="s">
        <v>24</v>
      </c>
      <c r="F8" s="146" t="s">
        <v>187</v>
      </c>
      <c r="G8" s="146" t="s">
        <v>187</v>
      </c>
      <c r="H8" s="179" t="s">
        <v>174</v>
      </c>
      <c r="I8" s="99"/>
      <c r="J8" s="105">
        <v>1.25</v>
      </c>
      <c r="K8" s="99"/>
      <c r="L8" s="104" t="str">
        <f t="shared" ca="1" si="1"/>
        <v/>
      </c>
      <c r="M8" s="131" t="str">
        <f t="shared" ca="1" si="1"/>
        <v/>
      </c>
      <c r="N8" s="99"/>
      <c r="O8" s="99"/>
      <c r="P8" s="99"/>
      <c r="Q8" s="99"/>
      <c r="R8" s="99"/>
    </row>
    <row r="9" spans="1:18" ht="12.75" customHeight="1">
      <c r="A9" s="141"/>
      <c r="B9" s="141"/>
      <c r="C9" s="148"/>
      <c r="D9" s="148"/>
      <c r="E9" s="148"/>
      <c r="F9" s="150"/>
      <c r="G9" s="150"/>
      <c r="H9" s="180">
        <v>1</v>
      </c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18" ht="12.75" customHeight="1">
      <c r="A10" s="153">
        <v>4</v>
      </c>
      <c r="B10" s="154" t="s">
        <v>26</v>
      </c>
      <c r="C10" s="155" t="s">
        <v>224</v>
      </c>
      <c r="D10" s="162"/>
      <c r="E10" s="156"/>
      <c r="F10" s="158"/>
      <c r="G10" s="158"/>
      <c r="H10" s="180">
        <v>2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spans="1:18" ht="12.75" customHeight="1">
      <c r="A11" s="156"/>
      <c r="B11" s="40"/>
      <c r="C11" s="155" t="s">
        <v>225</v>
      </c>
      <c r="D11" s="156"/>
      <c r="E11" s="156"/>
      <c r="F11" s="159"/>
      <c r="G11" s="159"/>
      <c r="H11" s="180">
        <v>3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spans="1:18" ht="12.75" customHeight="1">
      <c r="A12" s="156"/>
      <c r="B12" s="156"/>
      <c r="C12" s="160"/>
      <c r="D12" s="156"/>
      <c r="E12" s="156"/>
      <c r="F12" s="159"/>
      <c r="G12" s="159"/>
      <c r="H12" s="180">
        <v>4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spans="1:18" ht="12.75" customHeight="1">
      <c r="A13" s="153">
        <v>4.0999999999999996</v>
      </c>
      <c r="B13" s="154" t="s">
        <v>226</v>
      </c>
      <c r="C13" s="161" t="s">
        <v>227</v>
      </c>
      <c r="D13" s="162"/>
      <c r="E13" s="156"/>
      <c r="F13" s="158"/>
      <c r="G13" s="158"/>
      <c r="H13" s="180">
        <v>5</v>
      </c>
      <c r="I13" s="99"/>
      <c r="J13" s="122"/>
      <c r="K13" s="99"/>
      <c r="L13" s="99"/>
      <c r="M13" s="99"/>
      <c r="N13" s="99"/>
      <c r="O13" s="99"/>
      <c r="P13" s="99"/>
      <c r="Q13" s="99"/>
      <c r="R13" s="99"/>
    </row>
    <row r="14" spans="1:18" ht="12.75" customHeight="1">
      <c r="A14" s="156"/>
      <c r="B14" s="156"/>
      <c r="C14" s="162"/>
      <c r="D14" s="156"/>
      <c r="E14" s="156"/>
      <c r="F14" s="159"/>
      <c r="G14" s="159"/>
      <c r="H14" s="180">
        <v>6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ht="12.75" customHeight="1">
      <c r="A15" s="41" t="s">
        <v>228</v>
      </c>
      <c r="B15" s="154" t="s">
        <v>229</v>
      </c>
      <c r="C15" s="163" t="s">
        <v>230</v>
      </c>
      <c r="D15" s="156"/>
      <c r="E15" s="157"/>
      <c r="F15" s="159"/>
      <c r="G15" s="46"/>
      <c r="H15" s="164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ht="12.75" customHeight="1">
      <c r="A16" s="40"/>
      <c r="B16" s="156"/>
      <c r="C16" s="163" t="s">
        <v>231</v>
      </c>
      <c r="D16" s="156"/>
      <c r="E16" s="157"/>
      <c r="F16" s="159"/>
      <c r="G16" s="46"/>
      <c r="H16" s="164"/>
      <c r="I16" s="99"/>
      <c r="J16" s="181"/>
      <c r="K16" s="181"/>
      <c r="L16" s="181"/>
      <c r="M16" s="99"/>
      <c r="N16" s="99"/>
      <c r="O16" s="99"/>
      <c r="P16" s="99"/>
      <c r="Q16" s="99"/>
      <c r="R16" s="99"/>
    </row>
    <row r="17" spans="1:18" ht="12.75" customHeight="1">
      <c r="A17" s="40"/>
      <c r="B17" s="156"/>
      <c r="C17" s="162"/>
      <c r="D17" s="156"/>
      <c r="E17" s="157"/>
      <c r="F17" s="159"/>
      <c r="G17" s="46"/>
      <c r="H17" s="164"/>
      <c r="I17" s="182"/>
      <c r="J17" s="183" t="s">
        <v>232</v>
      </c>
      <c r="K17" s="184" t="s">
        <v>233</v>
      </c>
      <c r="L17" s="184" t="s">
        <v>234</v>
      </c>
      <c r="M17" s="99"/>
      <c r="N17" s="99"/>
      <c r="O17" s="99"/>
      <c r="P17" s="99"/>
      <c r="Q17" s="99"/>
      <c r="R17" s="99"/>
    </row>
    <row r="18" spans="1:18" ht="12.75" customHeight="1">
      <c r="A18" s="40"/>
      <c r="B18" s="156"/>
      <c r="C18" s="163" t="s">
        <v>235</v>
      </c>
      <c r="D18" s="154" t="s">
        <v>179</v>
      </c>
      <c r="E18" s="157">
        <v>23018.52</v>
      </c>
      <c r="F18" s="159"/>
      <c r="G18" s="46"/>
      <c r="H18" s="164"/>
      <c r="I18" s="182"/>
      <c r="J18" s="185">
        <v>208.65</v>
      </c>
      <c r="K18" s="105">
        <f>J18/6</f>
        <v>34.774999999999999</v>
      </c>
      <c r="L18" s="105">
        <f t="shared" ref="L18:L29" si="2">K18*1.25</f>
        <v>43.46875</v>
      </c>
      <c r="M18" s="99"/>
      <c r="N18" s="99"/>
      <c r="O18" s="99"/>
      <c r="P18" s="99"/>
      <c r="Q18" s="105">
        <v>186.77</v>
      </c>
      <c r="R18" s="105">
        <f>Q18/6</f>
        <v>31.128333333333334</v>
      </c>
    </row>
    <row r="19" spans="1:18" ht="12.75" customHeight="1">
      <c r="A19" s="40"/>
      <c r="B19" s="156"/>
      <c r="C19" s="162"/>
      <c r="D19" s="156"/>
      <c r="E19" s="157"/>
      <c r="F19" s="159"/>
      <c r="G19" s="46"/>
      <c r="H19" s="164"/>
      <c r="I19" s="182"/>
      <c r="J19" s="186"/>
      <c r="K19" s="99"/>
      <c r="L19" s="105">
        <f t="shared" si="2"/>
        <v>0</v>
      </c>
      <c r="M19" s="99"/>
      <c r="N19" s="99"/>
      <c r="O19" s="99"/>
      <c r="P19" s="99"/>
      <c r="Q19" s="99"/>
      <c r="R19" s="99"/>
    </row>
    <row r="20" spans="1:18" ht="12.75" customHeight="1">
      <c r="A20" s="40"/>
      <c r="B20" s="156"/>
      <c r="C20" s="163" t="s">
        <v>236</v>
      </c>
      <c r="D20" s="154" t="s">
        <v>179</v>
      </c>
      <c r="E20" s="157">
        <v>10291.32</v>
      </c>
      <c r="F20" s="159"/>
      <c r="G20" s="46"/>
      <c r="H20" s="164"/>
      <c r="I20" s="182"/>
      <c r="J20" s="185">
        <v>287.35000000000002</v>
      </c>
      <c r="K20" s="105">
        <f>J20/6</f>
        <v>47.891666666666673</v>
      </c>
      <c r="L20" s="105">
        <f t="shared" si="2"/>
        <v>59.864583333333343</v>
      </c>
      <c r="M20" s="99"/>
      <c r="N20" s="99"/>
      <c r="O20" s="99"/>
      <c r="P20" s="99"/>
      <c r="Q20" s="105">
        <v>257.52</v>
      </c>
      <c r="R20" s="105">
        <f>Q20/6</f>
        <v>42.919999999999995</v>
      </c>
    </row>
    <row r="21" spans="1:18" ht="12.75" customHeight="1">
      <c r="A21" s="40"/>
      <c r="B21" s="156"/>
      <c r="C21" s="162"/>
      <c r="D21" s="156"/>
      <c r="E21" s="157"/>
      <c r="F21" s="159"/>
      <c r="G21" s="46"/>
      <c r="H21" s="164"/>
      <c r="I21" s="182"/>
      <c r="J21" s="186"/>
      <c r="K21" s="99"/>
      <c r="L21" s="105">
        <f t="shared" si="2"/>
        <v>0</v>
      </c>
      <c r="M21" s="99"/>
      <c r="N21" s="99"/>
      <c r="O21" s="99"/>
      <c r="P21" s="99"/>
      <c r="Q21" s="99"/>
      <c r="R21" s="99"/>
    </row>
    <row r="22" spans="1:18" ht="12.75" customHeight="1">
      <c r="A22" s="40"/>
      <c r="B22" s="156"/>
      <c r="C22" s="163" t="s">
        <v>237</v>
      </c>
      <c r="D22" s="154" t="s">
        <v>179</v>
      </c>
      <c r="E22" s="157">
        <v>5563.39</v>
      </c>
      <c r="F22" s="159"/>
      <c r="G22" s="46"/>
      <c r="H22" s="164"/>
      <c r="I22" s="182"/>
      <c r="J22" s="185">
        <v>394.45</v>
      </c>
      <c r="K22" s="105">
        <f>J22/6</f>
        <v>65.74166666666666</v>
      </c>
      <c r="L22" s="105">
        <f t="shared" si="2"/>
        <v>82.177083333333329</v>
      </c>
      <c r="M22" s="99"/>
      <c r="N22" s="99"/>
      <c r="O22" s="99"/>
      <c r="P22" s="99"/>
      <c r="Q22" s="105">
        <v>357.09</v>
      </c>
      <c r="R22" s="105">
        <f>Q22/6</f>
        <v>59.514999999999993</v>
      </c>
    </row>
    <row r="23" spans="1:18" ht="12.75" customHeight="1">
      <c r="A23" s="40"/>
      <c r="B23" s="156"/>
      <c r="C23" s="162"/>
      <c r="D23" s="156"/>
      <c r="E23" s="157"/>
      <c r="F23" s="159">
        <f t="shared" ref="F23:F24" si="3">L23</f>
        <v>0</v>
      </c>
      <c r="G23" s="46"/>
      <c r="H23" s="164"/>
      <c r="I23" s="182"/>
      <c r="J23" s="186"/>
      <c r="K23" s="99"/>
      <c r="L23" s="105">
        <f t="shared" si="2"/>
        <v>0</v>
      </c>
      <c r="M23" s="99"/>
      <c r="N23" s="99"/>
      <c r="O23" s="99"/>
      <c r="P23" s="99"/>
      <c r="Q23" s="99"/>
      <c r="R23" s="99"/>
    </row>
    <row r="24" spans="1:18" ht="12.75" customHeight="1">
      <c r="A24" s="40"/>
      <c r="B24" s="156"/>
      <c r="C24" s="163" t="s">
        <v>238</v>
      </c>
      <c r="D24" s="154" t="s">
        <v>179</v>
      </c>
      <c r="E24" s="157">
        <v>0</v>
      </c>
      <c r="F24" s="159">
        <f t="shared" si="3"/>
        <v>103.5125</v>
      </c>
      <c r="G24" s="51" t="s">
        <v>54</v>
      </c>
      <c r="H24" s="164"/>
      <c r="I24" s="182"/>
      <c r="J24" s="187">
        <v>496.86</v>
      </c>
      <c r="K24" s="188">
        <f>J24/6</f>
        <v>82.81</v>
      </c>
      <c r="L24" s="188">
        <f t="shared" si="2"/>
        <v>103.5125</v>
      </c>
      <c r="M24" s="99"/>
      <c r="N24" s="99"/>
      <c r="O24" s="99"/>
      <c r="P24" s="99"/>
      <c r="Q24" s="105">
        <v>450.16</v>
      </c>
      <c r="R24" s="105">
        <f>Q24/6</f>
        <v>75.026666666666671</v>
      </c>
    </row>
    <row r="25" spans="1:18" ht="12.75" customHeight="1">
      <c r="A25" s="40"/>
      <c r="B25" s="156"/>
      <c r="C25" s="162"/>
      <c r="D25" s="156"/>
      <c r="E25" s="157"/>
      <c r="F25" s="159"/>
      <c r="G25" s="46"/>
      <c r="H25" s="164"/>
      <c r="I25" s="99"/>
      <c r="J25" s="189"/>
      <c r="K25" s="189"/>
      <c r="L25" s="190">
        <f t="shared" si="2"/>
        <v>0</v>
      </c>
      <c r="M25" s="99"/>
      <c r="N25" s="99"/>
      <c r="O25" s="99"/>
      <c r="P25" s="99"/>
      <c r="Q25" s="99"/>
      <c r="R25" s="99"/>
    </row>
    <row r="26" spans="1:18" ht="12.75" customHeight="1">
      <c r="A26" s="153">
        <v>4.2</v>
      </c>
      <c r="B26" s="154" t="s">
        <v>180</v>
      </c>
      <c r="C26" s="161" t="s">
        <v>239</v>
      </c>
      <c r="D26" s="43"/>
      <c r="E26" s="40"/>
      <c r="F26" s="66"/>
      <c r="G26" s="46"/>
      <c r="H26" s="164"/>
      <c r="I26" s="99"/>
      <c r="J26" s="99"/>
      <c r="K26" s="99"/>
      <c r="L26" s="105">
        <f t="shared" si="2"/>
        <v>0</v>
      </c>
      <c r="M26" s="99"/>
      <c r="N26" s="99"/>
      <c r="O26" s="99"/>
      <c r="P26" s="99"/>
      <c r="Q26" s="99"/>
      <c r="R26" s="99"/>
    </row>
    <row r="27" spans="1:18" ht="12.75" customHeight="1">
      <c r="A27" s="156"/>
      <c r="B27" s="156"/>
      <c r="C27" s="162"/>
      <c r="D27" s="156"/>
      <c r="E27" s="156"/>
      <c r="F27" s="159"/>
      <c r="G27" s="46"/>
      <c r="H27" s="164"/>
      <c r="I27" s="99"/>
      <c r="J27" s="99"/>
      <c r="K27" s="99"/>
      <c r="L27" s="105">
        <f t="shared" si="2"/>
        <v>0</v>
      </c>
      <c r="M27" s="99"/>
      <c r="N27" s="99"/>
      <c r="O27" s="99"/>
      <c r="P27" s="99"/>
      <c r="Q27" s="99"/>
      <c r="R27" s="99"/>
    </row>
    <row r="28" spans="1:18" ht="12.75" customHeight="1">
      <c r="A28" s="156"/>
      <c r="B28" s="156"/>
      <c r="C28" s="163" t="s">
        <v>240</v>
      </c>
      <c r="D28" s="162"/>
      <c r="E28" s="156"/>
      <c r="F28" s="158"/>
      <c r="G28" s="46"/>
      <c r="H28" s="164"/>
      <c r="I28" s="99"/>
      <c r="J28" s="99"/>
      <c r="K28" s="99"/>
      <c r="L28" s="105">
        <f t="shared" si="2"/>
        <v>0</v>
      </c>
      <c r="M28" s="99"/>
      <c r="N28" s="99"/>
      <c r="O28" s="99"/>
      <c r="P28" s="99"/>
      <c r="Q28" s="99"/>
      <c r="R28" s="99"/>
    </row>
    <row r="29" spans="1:18" ht="12.75" customHeight="1">
      <c r="A29" s="156"/>
      <c r="B29" s="156"/>
      <c r="C29" s="163" t="s">
        <v>241</v>
      </c>
      <c r="D29" s="162"/>
      <c r="E29" s="156"/>
      <c r="F29" s="158"/>
      <c r="G29" s="46"/>
      <c r="H29" s="164"/>
      <c r="I29" s="99"/>
      <c r="J29" s="99"/>
      <c r="K29" s="99"/>
      <c r="L29" s="105">
        <f t="shared" si="2"/>
        <v>0</v>
      </c>
      <c r="M29" s="99"/>
      <c r="N29" s="99"/>
      <c r="O29" s="99"/>
      <c r="P29" s="99"/>
      <c r="Q29" s="99"/>
      <c r="R29" s="99"/>
    </row>
    <row r="30" spans="1:18" ht="13.75" customHeight="1">
      <c r="A30" s="156"/>
      <c r="B30" s="156"/>
      <c r="C30" s="43"/>
      <c r="D30" s="43"/>
      <c r="E30" s="40"/>
      <c r="F30" s="66"/>
      <c r="G30" s="46"/>
      <c r="H30" s="164"/>
      <c r="I30" s="99"/>
      <c r="J30" s="99"/>
      <c r="K30" s="99"/>
      <c r="L30" s="99"/>
      <c r="M30" s="99"/>
      <c r="N30" s="99"/>
      <c r="O30" s="99"/>
      <c r="P30" s="99"/>
      <c r="Q30" s="99"/>
      <c r="R30" s="99"/>
    </row>
    <row r="31" spans="1:18" ht="12.75" customHeight="1">
      <c r="A31" s="154" t="s">
        <v>242</v>
      </c>
      <c r="B31" s="156"/>
      <c r="C31" s="161" t="s">
        <v>243</v>
      </c>
      <c r="D31" s="156"/>
      <c r="E31" s="156"/>
      <c r="F31" s="159"/>
      <c r="G31" s="46"/>
      <c r="H31" s="164"/>
      <c r="I31" s="99"/>
      <c r="J31" s="99"/>
      <c r="K31" s="99"/>
      <c r="L31" s="99"/>
      <c r="M31" s="99"/>
      <c r="N31" s="99"/>
      <c r="O31" s="99"/>
      <c r="P31" s="99"/>
      <c r="Q31" s="99"/>
      <c r="R31" s="99"/>
    </row>
    <row r="32" spans="1:18" ht="12.75" customHeight="1">
      <c r="A32" s="156"/>
      <c r="B32" s="156"/>
      <c r="C32" s="166"/>
      <c r="D32" s="156"/>
      <c r="E32" s="156"/>
      <c r="F32" s="159"/>
      <c r="G32" s="46"/>
      <c r="H32" s="164"/>
      <c r="I32" s="99"/>
      <c r="J32" s="99"/>
      <c r="K32" s="99"/>
      <c r="L32" s="99"/>
      <c r="M32" s="99"/>
      <c r="N32" s="99"/>
      <c r="O32" s="99"/>
      <c r="P32" s="99"/>
      <c r="Q32" s="99"/>
      <c r="R32" s="99"/>
    </row>
    <row r="33" spans="1:18" ht="12.75" customHeight="1">
      <c r="A33" s="156"/>
      <c r="B33" s="156"/>
      <c r="C33" s="161" t="s">
        <v>244</v>
      </c>
      <c r="D33" s="156"/>
      <c r="E33" s="156"/>
      <c r="F33" s="159"/>
      <c r="G33" s="46"/>
      <c r="H33" s="164"/>
      <c r="I33" s="99"/>
      <c r="J33" s="181"/>
      <c r="K33" s="181"/>
      <c r="L33" s="181"/>
      <c r="M33" s="99"/>
      <c r="N33" s="99"/>
      <c r="O33" s="99"/>
      <c r="P33" s="99"/>
      <c r="Q33" s="99"/>
      <c r="R33" s="99"/>
    </row>
    <row r="34" spans="1:18" ht="12.75" customHeight="1">
      <c r="A34" s="156"/>
      <c r="B34" s="156"/>
      <c r="C34" s="166"/>
      <c r="D34" s="156"/>
      <c r="E34" s="156"/>
      <c r="F34" s="159"/>
      <c r="G34" s="46"/>
      <c r="H34" s="164"/>
      <c r="I34" s="182"/>
      <c r="J34" s="183" t="s">
        <v>18</v>
      </c>
      <c r="K34" s="191"/>
      <c r="L34" s="184" t="s">
        <v>245</v>
      </c>
      <c r="M34" s="99"/>
      <c r="N34" s="99"/>
      <c r="O34" s="99"/>
      <c r="P34" s="99"/>
      <c r="Q34" s="99"/>
      <c r="R34" s="99"/>
    </row>
    <row r="35" spans="1:18" ht="12.75" customHeight="1">
      <c r="A35" s="156"/>
      <c r="B35" s="156"/>
      <c r="C35" s="163" t="s">
        <v>235</v>
      </c>
      <c r="D35" s="154" t="s">
        <v>41</v>
      </c>
      <c r="E35" s="157">
        <v>115</v>
      </c>
      <c r="F35" s="159"/>
      <c r="G35" s="46"/>
      <c r="H35" s="164"/>
      <c r="I35" s="182"/>
      <c r="J35" s="185">
        <v>245.71</v>
      </c>
      <c r="K35" s="99"/>
      <c r="L35" s="105">
        <f t="shared" ref="L35:L61" si="4">J35*1.25</f>
        <v>307.13749999999999</v>
      </c>
      <c r="M35" s="99"/>
      <c r="N35" s="99"/>
      <c r="O35" s="99"/>
      <c r="P35" s="99"/>
      <c r="Q35" s="105">
        <v>254.72</v>
      </c>
      <c r="R35" s="105">
        <f>Q35</f>
        <v>254.72</v>
      </c>
    </row>
    <row r="36" spans="1:18" ht="12.75" customHeight="1">
      <c r="A36" s="156"/>
      <c r="B36" s="156"/>
      <c r="C36" s="162"/>
      <c r="D36" s="156"/>
      <c r="E36" s="156"/>
      <c r="F36" s="159"/>
      <c r="G36" s="46"/>
      <c r="H36" s="164"/>
      <c r="I36" s="182"/>
      <c r="J36" s="186"/>
      <c r="K36" s="99"/>
      <c r="L36" s="105">
        <f t="shared" si="4"/>
        <v>0</v>
      </c>
      <c r="M36" s="99"/>
      <c r="N36" s="99"/>
      <c r="O36" s="99"/>
      <c r="P36" s="99"/>
      <c r="Q36" s="99"/>
      <c r="R36" s="99"/>
    </row>
    <row r="37" spans="1:18" ht="12.75" customHeight="1">
      <c r="A37" s="156"/>
      <c r="B37" s="156"/>
      <c r="C37" s="163" t="s">
        <v>236</v>
      </c>
      <c r="D37" s="154" t="s">
        <v>41</v>
      </c>
      <c r="E37" s="157">
        <v>12</v>
      </c>
      <c r="F37" s="159"/>
      <c r="G37" s="46"/>
      <c r="H37" s="164"/>
      <c r="I37" s="182"/>
      <c r="J37" s="185">
        <v>312.68</v>
      </c>
      <c r="K37" s="99"/>
      <c r="L37" s="105">
        <f t="shared" si="4"/>
        <v>390.85</v>
      </c>
      <c r="M37" s="99"/>
      <c r="N37" s="99"/>
      <c r="O37" s="99"/>
      <c r="P37" s="99"/>
      <c r="Q37" s="105">
        <v>312.69</v>
      </c>
      <c r="R37" s="105">
        <f>Q37</f>
        <v>312.69</v>
      </c>
    </row>
    <row r="38" spans="1:18" ht="12.75" customHeight="1">
      <c r="A38" s="156"/>
      <c r="B38" s="156"/>
      <c r="C38" s="162"/>
      <c r="D38" s="156"/>
      <c r="E38" s="157"/>
      <c r="F38" s="159"/>
      <c r="G38" s="46"/>
      <c r="H38" s="164"/>
      <c r="I38" s="182"/>
      <c r="J38" s="186"/>
      <c r="K38" s="99"/>
      <c r="L38" s="105">
        <f t="shared" si="4"/>
        <v>0</v>
      </c>
      <c r="M38" s="99"/>
      <c r="N38" s="99"/>
      <c r="O38" s="99"/>
      <c r="P38" s="99"/>
      <c r="Q38" s="99"/>
      <c r="R38" s="99"/>
    </row>
    <row r="39" spans="1:18" ht="12.75" customHeight="1">
      <c r="A39" s="156"/>
      <c r="B39" s="156"/>
      <c r="C39" s="163" t="s">
        <v>237</v>
      </c>
      <c r="D39" s="154" t="s">
        <v>41</v>
      </c>
      <c r="E39" s="157">
        <v>18</v>
      </c>
      <c r="F39" s="159"/>
      <c r="G39" s="46"/>
      <c r="H39" s="164"/>
      <c r="I39" s="182"/>
      <c r="J39" s="185">
        <v>356.59</v>
      </c>
      <c r="K39" s="99"/>
      <c r="L39" s="105">
        <f t="shared" si="4"/>
        <v>445.73749999999995</v>
      </c>
      <c r="M39" s="99"/>
      <c r="N39" s="99"/>
      <c r="O39" s="99"/>
      <c r="P39" s="99"/>
      <c r="Q39" s="105">
        <v>356.59</v>
      </c>
      <c r="R39" s="105">
        <f>Q39</f>
        <v>356.59</v>
      </c>
    </row>
    <row r="40" spans="1:18" ht="12.75" customHeight="1">
      <c r="A40" s="156"/>
      <c r="B40" s="156"/>
      <c r="C40" s="162"/>
      <c r="D40" s="156"/>
      <c r="E40" s="157"/>
      <c r="F40" s="159"/>
      <c r="G40" s="46"/>
      <c r="H40" s="164"/>
      <c r="I40" s="182"/>
      <c r="J40" s="186"/>
      <c r="K40" s="99"/>
      <c r="L40" s="105">
        <f t="shared" si="4"/>
        <v>0</v>
      </c>
      <c r="M40" s="99"/>
      <c r="N40" s="99"/>
      <c r="O40" s="99"/>
      <c r="P40" s="99"/>
      <c r="Q40" s="99"/>
      <c r="R40" s="99"/>
    </row>
    <row r="41" spans="1:18" ht="12.75" customHeight="1">
      <c r="A41" s="156"/>
      <c r="B41" s="156"/>
      <c r="C41" s="163" t="s">
        <v>238</v>
      </c>
      <c r="D41" s="154" t="s">
        <v>41</v>
      </c>
      <c r="E41" s="157">
        <v>9</v>
      </c>
      <c r="F41" s="159"/>
      <c r="G41" s="46"/>
      <c r="H41" s="164"/>
      <c r="I41" s="182"/>
      <c r="J41" s="185">
        <v>404.02</v>
      </c>
      <c r="K41" s="99"/>
      <c r="L41" s="105">
        <f t="shared" si="4"/>
        <v>505.02499999999998</v>
      </c>
      <c r="M41" s="99"/>
      <c r="N41" s="99"/>
      <c r="O41" s="99"/>
      <c r="P41" s="99"/>
      <c r="Q41" s="105">
        <v>404.04</v>
      </c>
      <c r="R41" s="105">
        <f>Q41</f>
        <v>404.04</v>
      </c>
    </row>
    <row r="42" spans="1:18" ht="12.75" customHeight="1">
      <c r="A42" s="156"/>
      <c r="B42" s="156"/>
      <c r="C42" s="162"/>
      <c r="D42" s="156"/>
      <c r="E42" s="157"/>
      <c r="F42" s="159"/>
      <c r="G42" s="46"/>
      <c r="H42" s="164"/>
      <c r="I42" s="182"/>
      <c r="J42" s="186"/>
      <c r="K42" s="99"/>
      <c r="L42" s="105">
        <f t="shared" si="4"/>
        <v>0</v>
      </c>
      <c r="M42" s="99"/>
      <c r="N42" s="99"/>
      <c r="O42" s="99"/>
      <c r="P42" s="99"/>
      <c r="Q42" s="99"/>
      <c r="R42" s="99"/>
    </row>
    <row r="43" spans="1:18" ht="12.75" customHeight="1">
      <c r="A43" s="156"/>
      <c r="B43" s="156"/>
      <c r="C43" s="161" t="s">
        <v>246</v>
      </c>
      <c r="D43" s="156"/>
      <c r="E43" s="156"/>
      <c r="F43" s="159"/>
      <c r="G43" s="46"/>
      <c r="H43" s="164"/>
      <c r="I43" s="182"/>
      <c r="J43" s="186"/>
      <c r="K43" s="99"/>
      <c r="L43" s="105">
        <f t="shared" si="4"/>
        <v>0</v>
      </c>
      <c r="M43" s="99"/>
      <c r="N43" s="99"/>
      <c r="O43" s="99"/>
      <c r="P43" s="99"/>
      <c r="Q43" s="99"/>
      <c r="R43" s="99"/>
    </row>
    <row r="44" spans="1:18" ht="12.75" customHeight="1">
      <c r="A44" s="156"/>
      <c r="B44" s="156"/>
      <c r="C44" s="166"/>
      <c r="D44" s="156"/>
      <c r="E44" s="156"/>
      <c r="F44" s="159"/>
      <c r="G44" s="46"/>
      <c r="H44" s="164"/>
      <c r="I44" s="182"/>
      <c r="J44" s="186"/>
      <c r="K44" s="99"/>
      <c r="L44" s="105">
        <f t="shared" si="4"/>
        <v>0</v>
      </c>
      <c r="M44" s="99"/>
      <c r="N44" s="99"/>
      <c r="O44" s="99"/>
      <c r="P44" s="99"/>
      <c r="Q44" s="99"/>
      <c r="R44" s="99"/>
    </row>
    <row r="45" spans="1:18" ht="12.75" customHeight="1">
      <c r="A45" s="156"/>
      <c r="B45" s="156"/>
      <c r="C45" s="163" t="s">
        <v>235</v>
      </c>
      <c r="D45" s="154" t="s">
        <v>41</v>
      </c>
      <c r="E45" s="157">
        <v>63</v>
      </c>
      <c r="F45" s="159"/>
      <c r="G45" s="46"/>
      <c r="H45" s="164"/>
      <c r="I45" s="182"/>
      <c r="J45" s="185">
        <v>254.71</v>
      </c>
      <c r="K45" s="99"/>
      <c r="L45" s="105">
        <f t="shared" si="4"/>
        <v>318.38749999999999</v>
      </c>
      <c r="M45" s="99"/>
      <c r="N45" s="99"/>
      <c r="O45" s="99"/>
      <c r="P45" s="99"/>
      <c r="Q45" s="105">
        <v>254.72</v>
      </c>
      <c r="R45" s="105">
        <f>Q45</f>
        <v>254.72</v>
      </c>
    </row>
    <row r="46" spans="1:18" ht="12.75" customHeight="1">
      <c r="A46" s="156"/>
      <c r="B46" s="156"/>
      <c r="C46" s="162"/>
      <c r="D46" s="156"/>
      <c r="E46" s="156"/>
      <c r="F46" s="159"/>
      <c r="G46" s="46"/>
      <c r="H46" s="164"/>
      <c r="I46" s="182"/>
      <c r="J46" s="186"/>
      <c r="K46" s="99"/>
      <c r="L46" s="105">
        <f t="shared" si="4"/>
        <v>0</v>
      </c>
      <c r="M46" s="99"/>
      <c r="N46" s="99"/>
      <c r="O46" s="99"/>
      <c r="P46" s="99"/>
      <c r="Q46" s="99"/>
      <c r="R46" s="99"/>
    </row>
    <row r="47" spans="1:18" ht="12.75" customHeight="1">
      <c r="A47" s="156"/>
      <c r="B47" s="156"/>
      <c r="C47" s="163" t="s">
        <v>236</v>
      </c>
      <c r="D47" s="154" t="s">
        <v>41</v>
      </c>
      <c r="E47" s="157">
        <v>8</v>
      </c>
      <c r="F47" s="159"/>
      <c r="G47" s="46"/>
      <c r="H47" s="164"/>
      <c r="I47" s="182"/>
      <c r="J47" s="185">
        <v>312.68</v>
      </c>
      <c r="K47" s="99"/>
      <c r="L47" s="105">
        <f t="shared" si="4"/>
        <v>390.85</v>
      </c>
      <c r="M47" s="99"/>
      <c r="N47" s="99"/>
      <c r="O47" s="99"/>
      <c r="P47" s="99"/>
      <c r="Q47" s="105">
        <v>312.69</v>
      </c>
      <c r="R47" s="105">
        <f>Q47</f>
        <v>312.69</v>
      </c>
    </row>
    <row r="48" spans="1:18" ht="12.75" customHeight="1">
      <c r="A48" s="156"/>
      <c r="B48" s="156"/>
      <c r="C48" s="162"/>
      <c r="D48" s="156"/>
      <c r="E48" s="157"/>
      <c r="F48" s="159"/>
      <c r="G48" s="46"/>
      <c r="H48" s="164"/>
      <c r="I48" s="182"/>
      <c r="J48" s="186"/>
      <c r="K48" s="99"/>
      <c r="L48" s="105">
        <f t="shared" si="4"/>
        <v>0</v>
      </c>
      <c r="M48" s="99"/>
      <c r="N48" s="99"/>
      <c r="O48" s="99"/>
      <c r="P48" s="99"/>
      <c r="Q48" s="99"/>
      <c r="R48" s="99"/>
    </row>
    <row r="49" spans="1:18" ht="12.75" customHeight="1">
      <c r="A49" s="156"/>
      <c r="B49" s="156"/>
      <c r="C49" s="163" t="s">
        <v>237</v>
      </c>
      <c r="D49" s="154" t="s">
        <v>41</v>
      </c>
      <c r="E49" s="157">
        <v>17</v>
      </c>
      <c r="F49" s="159"/>
      <c r="G49" s="46"/>
      <c r="H49" s="164"/>
      <c r="I49" s="182"/>
      <c r="J49" s="185">
        <v>356.59</v>
      </c>
      <c r="K49" s="99"/>
      <c r="L49" s="105">
        <f t="shared" si="4"/>
        <v>445.73749999999995</v>
      </c>
      <c r="M49" s="99"/>
      <c r="N49" s="99"/>
      <c r="O49" s="99"/>
      <c r="P49" s="99"/>
      <c r="Q49" s="105">
        <v>356.59</v>
      </c>
      <c r="R49" s="105">
        <f>Q49</f>
        <v>356.59</v>
      </c>
    </row>
    <row r="50" spans="1:18" ht="12.75" customHeight="1">
      <c r="A50" s="156"/>
      <c r="B50" s="156"/>
      <c r="C50" s="162"/>
      <c r="D50" s="156"/>
      <c r="E50" s="157"/>
      <c r="F50" s="159"/>
      <c r="G50" s="46"/>
      <c r="H50" s="164"/>
      <c r="I50" s="182"/>
      <c r="J50" s="186"/>
      <c r="K50" s="99"/>
      <c r="L50" s="105">
        <f t="shared" si="4"/>
        <v>0</v>
      </c>
      <c r="M50" s="99"/>
      <c r="N50" s="99"/>
      <c r="O50" s="99"/>
      <c r="P50" s="99"/>
      <c r="Q50" s="99"/>
      <c r="R50" s="99"/>
    </row>
    <row r="51" spans="1:18" ht="12.75" customHeight="1">
      <c r="A51" s="156"/>
      <c r="B51" s="156"/>
      <c r="C51" s="163" t="s">
        <v>238</v>
      </c>
      <c r="D51" s="154" t="s">
        <v>41</v>
      </c>
      <c r="E51" s="157">
        <v>9</v>
      </c>
      <c r="F51" s="159"/>
      <c r="G51" s="46"/>
      <c r="H51" s="164"/>
      <c r="I51" s="182"/>
      <c r="J51" s="185">
        <v>404.02</v>
      </c>
      <c r="K51" s="99"/>
      <c r="L51" s="105">
        <f t="shared" si="4"/>
        <v>505.02499999999998</v>
      </c>
      <c r="M51" s="99"/>
      <c r="N51" s="99"/>
      <c r="O51" s="99"/>
      <c r="P51" s="99"/>
      <c r="Q51" s="105">
        <v>404.04</v>
      </c>
      <c r="R51" s="105">
        <f>Q51</f>
        <v>404.04</v>
      </c>
    </row>
    <row r="52" spans="1:18" ht="12.75" customHeight="1">
      <c r="A52" s="156"/>
      <c r="B52" s="156"/>
      <c r="C52" s="162"/>
      <c r="D52" s="156"/>
      <c r="E52" s="157"/>
      <c r="F52" s="159"/>
      <c r="G52" s="46"/>
      <c r="H52" s="164"/>
      <c r="I52" s="182"/>
      <c r="J52" s="186"/>
      <c r="K52" s="99"/>
      <c r="L52" s="105">
        <f t="shared" si="4"/>
        <v>0</v>
      </c>
      <c r="M52" s="99"/>
      <c r="N52" s="99"/>
      <c r="O52" s="99"/>
      <c r="P52" s="99"/>
      <c r="Q52" s="99"/>
      <c r="R52" s="99"/>
    </row>
    <row r="53" spans="1:18" ht="12.75" customHeight="1">
      <c r="A53" s="40"/>
      <c r="B53" s="156"/>
      <c r="C53" s="161" t="s">
        <v>247</v>
      </c>
      <c r="D53" s="156"/>
      <c r="E53" s="157"/>
      <c r="F53" s="66"/>
      <c r="G53" s="46"/>
      <c r="H53" s="164"/>
      <c r="I53" s="182"/>
      <c r="J53" s="186"/>
      <c r="K53" s="99"/>
      <c r="L53" s="105">
        <f t="shared" si="4"/>
        <v>0</v>
      </c>
      <c r="M53" s="99"/>
      <c r="N53" s="99"/>
      <c r="O53" s="99"/>
      <c r="P53" s="99"/>
      <c r="Q53" s="99"/>
      <c r="R53" s="99"/>
    </row>
    <row r="54" spans="1:18" ht="12.75" customHeight="1">
      <c r="A54" s="40"/>
      <c r="B54" s="156"/>
      <c r="C54" s="166"/>
      <c r="D54" s="156"/>
      <c r="E54" s="157"/>
      <c r="F54" s="66"/>
      <c r="G54" s="46"/>
      <c r="H54" s="164"/>
      <c r="I54" s="182"/>
      <c r="J54" s="186"/>
      <c r="K54" s="99"/>
      <c r="L54" s="105">
        <f t="shared" si="4"/>
        <v>0</v>
      </c>
      <c r="M54" s="99"/>
      <c r="N54" s="99"/>
      <c r="O54" s="99"/>
      <c r="P54" s="99"/>
      <c r="Q54" s="99"/>
      <c r="R54" s="99"/>
    </row>
    <row r="55" spans="1:18" ht="12.75" customHeight="1">
      <c r="A55" s="40"/>
      <c r="B55" s="156"/>
      <c r="C55" s="163" t="s">
        <v>235</v>
      </c>
      <c r="D55" s="154" t="s">
        <v>41</v>
      </c>
      <c r="E55" s="157">
        <v>48</v>
      </c>
      <c r="F55" s="159"/>
      <c r="G55" s="46"/>
      <c r="H55" s="164"/>
      <c r="I55" s="182"/>
      <c r="J55" s="185">
        <v>289.83999999999997</v>
      </c>
      <c r="K55" s="99"/>
      <c r="L55" s="105">
        <f t="shared" si="4"/>
        <v>362.29999999999995</v>
      </c>
      <c r="M55" s="99"/>
      <c r="N55" s="99"/>
      <c r="O55" s="99"/>
      <c r="P55" s="99"/>
      <c r="Q55" s="105">
        <v>289.85000000000002</v>
      </c>
      <c r="R55" s="105">
        <f>Q55</f>
        <v>289.85000000000002</v>
      </c>
    </row>
    <row r="56" spans="1:18" ht="12.75" customHeight="1">
      <c r="A56" s="40"/>
      <c r="B56" s="156"/>
      <c r="C56" s="162"/>
      <c r="D56" s="156"/>
      <c r="E56" s="157"/>
      <c r="F56" s="159"/>
      <c r="G56" s="46"/>
      <c r="H56" s="164"/>
      <c r="I56" s="182"/>
      <c r="J56" s="186"/>
      <c r="K56" s="99"/>
      <c r="L56" s="105">
        <f t="shared" si="4"/>
        <v>0</v>
      </c>
      <c r="M56" s="99"/>
      <c r="N56" s="99"/>
      <c r="O56" s="99"/>
      <c r="P56" s="99"/>
      <c r="Q56" s="99"/>
      <c r="R56" s="99"/>
    </row>
    <row r="57" spans="1:18" ht="12.75" customHeight="1">
      <c r="A57" s="40"/>
      <c r="B57" s="156"/>
      <c r="C57" s="163" t="s">
        <v>236</v>
      </c>
      <c r="D57" s="154" t="s">
        <v>41</v>
      </c>
      <c r="E57" s="157">
        <v>7</v>
      </c>
      <c r="F57" s="159"/>
      <c r="G57" s="46"/>
      <c r="H57" s="164"/>
      <c r="I57" s="182"/>
      <c r="J57" s="192">
        <v>346.06</v>
      </c>
      <c r="K57" s="99"/>
      <c r="L57" s="105">
        <f t="shared" si="4"/>
        <v>432.57499999999999</v>
      </c>
      <c r="M57" s="99"/>
      <c r="N57" s="99"/>
      <c r="O57" s="99"/>
      <c r="P57" s="99"/>
      <c r="Q57" s="105">
        <v>346.06</v>
      </c>
      <c r="R57" s="105">
        <f>Q57</f>
        <v>346.06</v>
      </c>
    </row>
    <row r="58" spans="1:18" ht="12.75" customHeight="1">
      <c r="A58" s="40"/>
      <c r="B58" s="156"/>
      <c r="C58" s="162"/>
      <c r="D58" s="156"/>
      <c r="E58" s="157"/>
      <c r="F58" s="159"/>
      <c r="G58" s="46"/>
      <c r="H58" s="164"/>
      <c r="I58" s="182"/>
      <c r="J58" s="186"/>
      <c r="K58" s="99"/>
      <c r="L58" s="105">
        <f t="shared" si="4"/>
        <v>0</v>
      </c>
      <c r="M58" s="99"/>
      <c r="N58" s="99"/>
      <c r="O58" s="99"/>
      <c r="P58" s="99"/>
      <c r="Q58" s="99"/>
      <c r="R58" s="99"/>
    </row>
    <row r="59" spans="1:18" ht="12.75" customHeight="1">
      <c r="A59" s="40"/>
      <c r="B59" s="156"/>
      <c r="C59" s="163" t="s">
        <v>237</v>
      </c>
      <c r="D59" s="154" t="s">
        <v>41</v>
      </c>
      <c r="E59" s="157">
        <v>11</v>
      </c>
      <c r="F59" s="159"/>
      <c r="G59" s="46"/>
      <c r="H59" s="164"/>
      <c r="I59" s="182"/>
      <c r="J59" s="185">
        <v>426.86</v>
      </c>
      <c r="K59" s="99"/>
      <c r="L59" s="105">
        <f t="shared" si="4"/>
        <v>533.57500000000005</v>
      </c>
      <c r="M59" s="99"/>
      <c r="N59" s="99"/>
      <c r="O59" s="99"/>
      <c r="P59" s="99"/>
      <c r="Q59" s="105">
        <v>426.85</v>
      </c>
      <c r="R59" s="105">
        <f>Q59</f>
        <v>426.85</v>
      </c>
    </row>
    <row r="60" spans="1:18" ht="12.75" customHeight="1">
      <c r="A60" s="40"/>
      <c r="B60" s="156"/>
      <c r="C60" s="162"/>
      <c r="D60" s="156"/>
      <c r="E60" s="157"/>
      <c r="F60" s="159"/>
      <c r="G60" s="46"/>
      <c r="H60" s="164"/>
      <c r="I60" s="182"/>
      <c r="J60" s="186"/>
      <c r="K60" s="99"/>
      <c r="L60" s="105">
        <f t="shared" si="4"/>
        <v>0</v>
      </c>
      <c r="M60" s="99"/>
      <c r="N60" s="99"/>
      <c r="O60" s="99"/>
      <c r="P60" s="99"/>
      <c r="Q60" s="99"/>
      <c r="R60" s="99"/>
    </row>
    <row r="61" spans="1:18" ht="12.75" customHeight="1">
      <c r="A61" s="40"/>
      <c r="B61" s="156"/>
      <c r="C61" s="163" t="s">
        <v>238</v>
      </c>
      <c r="D61" s="154" t="s">
        <v>41</v>
      </c>
      <c r="E61" s="157">
        <v>16</v>
      </c>
      <c r="F61" s="159"/>
      <c r="G61" s="46"/>
      <c r="H61" s="164"/>
      <c r="I61" s="182"/>
      <c r="J61" s="185">
        <v>477.8</v>
      </c>
      <c r="K61" s="99"/>
      <c r="L61" s="105">
        <f t="shared" si="4"/>
        <v>597.25</v>
      </c>
      <c r="M61" s="99"/>
      <c r="N61" s="99"/>
      <c r="O61" s="99"/>
      <c r="P61" s="99"/>
      <c r="Q61" s="105">
        <v>477.8</v>
      </c>
      <c r="R61" s="105">
        <f>Q61</f>
        <v>477.8</v>
      </c>
    </row>
    <row r="62" spans="1:18" s="446" customFormat="1" ht="12.75" customHeight="1">
      <c r="A62" s="40"/>
      <c r="B62" s="156"/>
      <c r="C62" s="163"/>
      <c r="D62" s="154"/>
      <c r="E62" s="157"/>
      <c r="F62" s="159"/>
      <c r="G62" s="46"/>
      <c r="H62" s="164"/>
      <c r="I62" s="182"/>
      <c r="J62" s="185"/>
      <c r="K62" s="99"/>
      <c r="L62" s="105"/>
      <c r="M62" s="99"/>
      <c r="N62" s="99"/>
      <c r="O62" s="99"/>
      <c r="P62" s="99"/>
      <c r="Q62" s="105"/>
      <c r="R62" s="105"/>
    </row>
    <row r="63" spans="1:18" s="446" customFormat="1" ht="12.75" customHeight="1">
      <c r="A63" s="40"/>
      <c r="B63" s="156"/>
      <c r="C63" s="163"/>
      <c r="D63" s="154"/>
      <c r="E63" s="157"/>
      <c r="F63" s="159"/>
      <c r="G63" s="46"/>
      <c r="H63" s="164"/>
      <c r="I63" s="182"/>
      <c r="J63" s="185"/>
      <c r="K63" s="99"/>
      <c r="L63" s="105"/>
      <c r="M63" s="99"/>
      <c r="N63" s="99"/>
      <c r="O63" s="99"/>
      <c r="P63" s="99"/>
      <c r="Q63" s="105"/>
      <c r="R63" s="105"/>
    </row>
    <row r="64" spans="1:18" s="446" customFormat="1" ht="12.75" customHeight="1">
      <c r="A64" s="40"/>
      <c r="B64" s="156"/>
      <c r="C64" s="163"/>
      <c r="D64" s="154"/>
      <c r="E64" s="157"/>
      <c r="F64" s="159"/>
      <c r="G64" s="46"/>
      <c r="H64" s="164"/>
      <c r="I64" s="182"/>
      <c r="J64" s="185"/>
      <c r="K64" s="99"/>
      <c r="L64" s="105"/>
      <c r="M64" s="99"/>
      <c r="N64" s="99"/>
      <c r="O64" s="99"/>
      <c r="P64" s="99"/>
      <c r="Q64" s="105"/>
      <c r="R64" s="105"/>
    </row>
    <row r="65" spans="1:18" s="446" customFormat="1" ht="12.75" customHeight="1">
      <c r="A65" s="40"/>
      <c r="B65" s="156"/>
      <c r="C65" s="163"/>
      <c r="D65" s="154"/>
      <c r="E65" s="157"/>
      <c r="F65" s="159"/>
      <c r="G65" s="46"/>
      <c r="H65" s="164"/>
      <c r="I65" s="182"/>
      <c r="J65" s="185"/>
      <c r="K65" s="99"/>
      <c r="L65" s="105"/>
      <c r="M65" s="99"/>
      <c r="N65" s="99"/>
      <c r="O65" s="99"/>
      <c r="P65" s="99"/>
      <c r="Q65" s="105"/>
      <c r="R65" s="105"/>
    </row>
    <row r="66" spans="1:18" s="446" customFormat="1" ht="12.75" customHeight="1">
      <c r="A66" s="40"/>
      <c r="B66" s="156"/>
      <c r="C66" s="163"/>
      <c r="D66" s="154"/>
      <c r="E66" s="157"/>
      <c r="F66" s="159"/>
      <c r="G66" s="46"/>
      <c r="H66" s="164"/>
      <c r="I66" s="182"/>
      <c r="J66" s="185"/>
      <c r="K66" s="99"/>
      <c r="L66" s="105"/>
      <c r="M66" s="99"/>
      <c r="N66" s="99"/>
      <c r="O66" s="99"/>
      <c r="P66" s="99"/>
      <c r="Q66" s="105"/>
      <c r="R66" s="105"/>
    </row>
    <row r="67" spans="1:18" s="446" customFormat="1" ht="12.75" customHeight="1">
      <c r="A67" s="40"/>
      <c r="B67" s="156"/>
      <c r="C67" s="163"/>
      <c r="D67" s="154"/>
      <c r="E67" s="157"/>
      <c r="F67" s="159"/>
      <c r="G67" s="46"/>
      <c r="H67" s="164"/>
      <c r="I67" s="182"/>
      <c r="J67" s="185"/>
      <c r="K67" s="99"/>
      <c r="L67" s="105"/>
      <c r="M67" s="99"/>
      <c r="N67" s="99"/>
      <c r="O67" s="99"/>
      <c r="P67" s="99"/>
      <c r="Q67" s="105"/>
      <c r="R67" s="105"/>
    </row>
    <row r="68" spans="1:18" ht="12.75" customHeight="1">
      <c r="A68" s="58"/>
      <c r="B68" s="193"/>
      <c r="C68" s="194"/>
      <c r="D68" s="193"/>
      <c r="E68" s="195"/>
      <c r="F68" s="176"/>
      <c r="G68" s="196"/>
      <c r="H68" s="164"/>
      <c r="I68" s="182"/>
      <c r="J68" s="186"/>
      <c r="K68" s="99"/>
      <c r="L68" s="105">
        <f t="shared" ref="L68:L80" si="5">J68*1.25</f>
        <v>0</v>
      </c>
      <c r="M68" s="99"/>
      <c r="N68" s="99"/>
      <c r="O68" s="99"/>
      <c r="P68" s="99"/>
      <c r="Q68" s="99"/>
      <c r="R68" s="99"/>
    </row>
    <row r="69" spans="1:18" ht="24" customHeight="1">
      <c r="A69" s="464" t="s">
        <v>248</v>
      </c>
      <c r="B69" s="465"/>
      <c r="C69" s="465"/>
      <c r="D69" s="465"/>
      <c r="E69" s="465"/>
      <c r="F69" s="465"/>
      <c r="G69" s="177">
        <f>SUM(G17:G67)</f>
        <v>0</v>
      </c>
      <c r="H69" s="179" t="s">
        <v>159</v>
      </c>
      <c r="I69" s="182"/>
      <c r="J69" s="186"/>
      <c r="K69" s="99"/>
      <c r="L69" s="105">
        <f t="shared" si="5"/>
        <v>0</v>
      </c>
      <c r="M69" s="99"/>
      <c r="N69" s="99"/>
      <c r="O69" s="99"/>
      <c r="P69" s="99"/>
      <c r="Q69" s="99"/>
      <c r="R69" s="99"/>
    </row>
    <row r="70" spans="1:18" ht="24" customHeight="1">
      <c r="A70" s="464" t="s">
        <v>249</v>
      </c>
      <c r="B70" s="465"/>
      <c r="C70" s="465"/>
      <c r="D70" s="465"/>
      <c r="E70" s="465"/>
      <c r="F70" s="465"/>
      <c r="G70" s="177">
        <f>G69</f>
        <v>0</v>
      </c>
      <c r="H70" s="179" t="s">
        <v>160</v>
      </c>
      <c r="I70" s="182"/>
      <c r="J70" s="186"/>
      <c r="K70" s="99"/>
      <c r="L70" s="105">
        <f t="shared" si="5"/>
        <v>0</v>
      </c>
      <c r="M70" s="99"/>
      <c r="N70" s="99"/>
      <c r="O70" s="99"/>
      <c r="P70" s="99"/>
      <c r="Q70" s="99"/>
      <c r="R70" s="99"/>
    </row>
    <row r="71" spans="1:18" ht="12.75" customHeight="1">
      <c r="A71" s="38"/>
      <c r="B71" s="141"/>
      <c r="C71" s="148"/>
      <c r="D71" s="141"/>
      <c r="E71" s="143"/>
      <c r="F71" s="94"/>
      <c r="G71" s="198"/>
      <c r="H71" s="164"/>
      <c r="I71" s="182"/>
      <c r="J71" s="186"/>
      <c r="K71" s="99"/>
      <c r="L71" s="105">
        <f t="shared" si="5"/>
        <v>0</v>
      </c>
      <c r="M71" s="99"/>
      <c r="N71" s="99"/>
      <c r="O71" s="99"/>
      <c r="P71" s="99"/>
      <c r="Q71" s="99"/>
      <c r="R71" s="99"/>
    </row>
    <row r="72" spans="1:18" ht="12.75" customHeight="1">
      <c r="A72" s="40"/>
      <c r="B72" s="40"/>
      <c r="C72" s="161" t="s">
        <v>250</v>
      </c>
      <c r="D72" s="43"/>
      <c r="E72" s="43"/>
      <c r="F72" s="159"/>
      <c r="G72" s="46"/>
      <c r="H72" s="199"/>
      <c r="I72" s="182"/>
      <c r="J72" s="186"/>
      <c r="K72" s="99"/>
      <c r="L72" s="105">
        <f t="shared" si="5"/>
        <v>0</v>
      </c>
      <c r="M72" s="99"/>
      <c r="N72" s="99"/>
      <c r="O72" s="99"/>
      <c r="P72" s="99"/>
      <c r="Q72" s="99"/>
      <c r="R72" s="99"/>
    </row>
    <row r="73" spans="1:18" ht="12.75" customHeight="1">
      <c r="A73" s="40"/>
      <c r="B73" s="40"/>
      <c r="C73" s="166"/>
      <c r="D73" s="43"/>
      <c r="E73" s="43"/>
      <c r="F73" s="159"/>
      <c r="G73" s="46"/>
      <c r="H73" s="164"/>
      <c r="I73" s="182"/>
      <c r="J73" s="186"/>
      <c r="K73" s="99"/>
      <c r="L73" s="105">
        <f t="shared" si="5"/>
        <v>0</v>
      </c>
      <c r="M73" s="99"/>
      <c r="N73" s="99"/>
      <c r="O73" s="99"/>
      <c r="P73" s="99"/>
      <c r="Q73" s="99"/>
      <c r="R73" s="99"/>
    </row>
    <row r="74" spans="1:18" ht="12.75" customHeight="1">
      <c r="A74" s="40"/>
      <c r="B74" s="156"/>
      <c r="C74" s="163" t="s">
        <v>235</v>
      </c>
      <c r="D74" s="154" t="s">
        <v>41</v>
      </c>
      <c r="E74" s="157">
        <v>126</v>
      </c>
      <c r="F74" s="159"/>
      <c r="G74" s="46"/>
      <c r="H74" s="164"/>
      <c r="I74" s="182"/>
      <c r="J74" s="185">
        <v>289.83999999999997</v>
      </c>
      <c r="K74" s="99"/>
      <c r="L74" s="105">
        <f t="shared" si="5"/>
        <v>362.29999999999995</v>
      </c>
      <c r="M74" s="99"/>
      <c r="N74" s="99"/>
      <c r="O74" s="99"/>
      <c r="P74" s="99"/>
      <c r="Q74" s="105">
        <v>289.85000000000002</v>
      </c>
      <c r="R74" s="105">
        <f>Q74</f>
        <v>289.85000000000002</v>
      </c>
    </row>
    <row r="75" spans="1:18" ht="12.75" customHeight="1">
      <c r="A75" s="40"/>
      <c r="B75" s="156"/>
      <c r="C75" s="162"/>
      <c r="D75" s="156"/>
      <c r="E75" s="156"/>
      <c r="F75" s="159"/>
      <c r="G75" s="46"/>
      <c r="H75" s="164"/>
      <c r="I75" s="182"/>
      <c r="J75" s="186"/>
      <c r="K75" s="99"/>
      <c r="L75" s="105">
        <f t="shared" si="5"/>
        <v>0</v>
      </c>
      <c r="M75" s="99"/>
      <c r="N75" s="99"/>
      <c r="O75" s="99"/>
      <c r="P75" s="99"/>
      <c r="Q75" s="99"/>
      <c r="R75" s="99"/>
    </row>
    <row r="76" spans="1:18" ht="12.75" customHeight="1">
      <c r="A76" s="40"/>
      <c r="B76" s="156"/>
      <c r="C76" s="163" t="s">
        <v>236</v>
      </c>
      <c r="D76" s="154" t="s">
        <v>41</v>
      </c>
      <c r="E76" s="157">
        <v>8</v>
      </c>
      <c r="F76" s="159"/>
      <c r="G76" s="46"/>
      <c r="H76" s="164"/>
      <c r="I76" s="182"/>
      <c r="J76" s="185">
        <v>346.06</v>
      </c>
      <c r="K76" s="99"/>
      <c r="L76" s="105">
        <f t="shared" si="5"/>
        <v>432.57499999999999</v>
      </c>
      <c r="M76" s="99"/>
      <c r="N76" s="99"/>
      <c r="O76" s="99"/>
      <c r="P76" s="99"/>
      <c r="Q76" s="105">
        <v>346.06</v>
      </c>
      <c r="R76" s="105">
        <f>Q76</f>
        <v>346.06</v>
      </c>
    </row>
    <row r="77" spans="1:18" ht="12.75" customHeight="1">
      <c r="A77" s="156"/>
      <c r="B77" s="156"/>
      <c r="C77" s="162"/>
      <c r="D77" s="156"/>
      <c r="E77" s="157"/>
      <c r="F77" s="159"/>
      <c r="G77" s="46"/>
      <c r="H77" s="164"/>
      <c r="I77" s="182"/>
      <c r="J77" s="186"/>
      <c r="K77" s="99"/>
      <c r="L77" s="105">
        <f t="shared" si="5"/>
        <v>0</v>
      </c>
      <c r="M77" s="99"/>
      <c r="N77" s="99"/>
      <c r="O77" s="99"/>
      <c r="P77" s="99"/>
      <c r="Q77" s="99"/>
      <c r="R77" s="99"/>
    </row>
    <row r="78" spans="1:18" ht="12.75" customHeight="1">
      <c r="A78" s="156"/>
      <c r="B78" s="156"/>
      <c r="C78" s="163" t="s">
        <v>237</v>
      </c>
      <c r="D78" s="154" t="s">
        <v>41</v>
      </c>
      <c r="E78" s="157">
        <v>6</v>
      </c>
      <c r="F78" s="159"/>
      <c r="G78" s="46"/>
      <c r="H78" s="164"/>
      <c r="I78" s="182"/>
      <c r="J78" s="185">
        <v>426.86</v>
      </c>
      <c r="K78" s="99"/>
      <c r="L78" s="105">
        <f t="shared" si="5"/>
        <v>533.57500000000005</v>
      </c>
      <c r="M78" s="99"/>
      <c r="N78" s="99"/>
      <c r="O78" s="99"/>
      <c r="P78" s="99"/>
      <c r="Q78" s="105">
        <v>426.85</v>
      </c>
      <c r="R78" s="105">
        <f>Q78</f>
        <v>426.85</v>
      </c>
    </row>
    <row r="79" spans="1:18" ht="12.75" customHeight="1">
      <c r="A79" s="156"/>
      <c r="B79" s="156"/>
      <c r="C79" s="162"/>
      <c r="D79" s="156"/>
      <c r="E79" s="157"/>
      <c r="F79" s="159"/>
      <c r="G79" s="46"/>
      <c r="H79" s="164"/>
      <c r="I79" s="182"/>
      <c r="J79" s="186"/>
      <c r="K79" s="99"/>
      <c r="L79" s="105">
        <f t="shared" si="5"/>
        <v>0</v>
      </c>
      <c r="M79" s="99"/>
      <c r="N79" s="99"/>
      <c r="O79" s="99"/>
      <c r="P79" s="99"/>
      <c r="Q79" s="99"/>
      <c r="R79" s="99"/>
    </row>
    <row r="80" spans="1:18" ht="12.75" customHeight="1">
      <c r="A80" s="156"/>
      <c r="B80" s="156"/>
      <c r="C80" s="163" t="s">
        <v>238</v>
      </c>
      <c r="D80" s="154" t="s">
        <v>41</v>
      </c>
      <c r="E80" s="157">
        <v>4</v>
      </c>
      <c r="F80" s="159"/>
      <c r="G80" s="46"/>
      <c r="H80" s="164"/>
      <c r="I80" s="182"/>
      <c r="J80" s="185">
        <v>477.8</v>
      </c>
      <c r="K80" s="99"/>
      <c r="L80" s="105">
        <f t="shared" si="5"/>
        <v>597.25</v>
      </c>
      <c r="M80" s="99"/>
      <c r="N80" s="99"/>
      <c r="O80" s="99"/>
      <c r="P80" s="99"/>
      <c r="Q80" s="105">
        <v>477.8</v>
      </c>
      <c r="R80" s="105">
        <f>Q80</f>
        <v>477.8</v>
      </c>
    </row>
    <row r="81" spans="1:18" ht="12.75" customHeight="1">
      <c r="A81" s="156"/>
      <c r="B81" s="156"/>
      <c r="C81" s="162"/>
      <c r="D81" s="156"/>
      <c r="E81" s="157"/>
      <c r="F81" s="159"/>
      <c r="G81" s="46"/>
      <c r="H81" s="164"/>
      <c r="I81" s="182"/>
      <c r="J81" s="186"/>
      <c r="K81" s="99"/>
      <c r="L81" s="105">
        <f>J81*1.2</f>
        <v>0</v>
      </c>
      <c r="M81" s="99"/>
      <c r="N81" s="99"/>
      <c r="O81" s="99"/>
      <c r="P81" s="99"/>
      <c r="Q81" s="99"/>
      <c r="R81" s="99"/>
    </row>
    <row r="82" spans="1:18" ht="12.75" customHeight="1">
      <c r="A82" s="154" t="s">
        <v>251</v>
      </c>
      <c r="B82" s="156"/>
      <c r="C82" s="161" t="s">
        <v>252</v>
      </c>
      <c r="D82" s="156"/>
      <c r="E82" s="157"/>
      <c r="F82" s="159"/>
      <c r="G82" s="46"/>
      <c r="H82" s="164"/>
      <c r="I82" s="182"/>
      <c r="J82" s="186"/>
      <c r="K82" s="99"/>
      <c r="L82" s="105">
        <f>J82*1.2</f>
        <v>0</v>
      </c>
      <c r="M82" s="99"/>
      <c r="N82" s="99"/>
      <c r="O82" s="99"/>
      <c r="P82" s="99"/>
      <c r="Q82" s="99"/>
      <c r="R82" s="99"/>
    </row>
    <row r="83" spans="1:18" ht="12.75" customHeight="1">
      <c r="A83" s="156"/>
      <c r="B83" s="156"/>
      <c r="C83" s="162"/>
      <c r="D83" s="156"/>
      <c r="E83" s="157"/>
      <c r="F83" s="159"/>
      <c r="G83" s="46"/>
      <c r="H83" s="164"/>
      <c r="I83" s="182"/>
      <c r="J83" s="186"/>
      <c r="K83" s="99"/>
      <c r="L83" s="105">
        <f>J83*1.2</f>
        <v>0</v>
      </c>
      <c r="M83" s="99"/>
      <c r="N83" s="99"/>
      <c r="O83" s="99"/>
      <c r="P83" s="99"/>
      <c r="Q83" s="99"/>
      <c r="R83" s="99"/>
    </row>
    <row r="84" spans="1:18" ht="12.75" customHeight="1">
      <c r="A84" s="156"/>
      <c r="B84" s="156"/>
      <c r="C84" s="163" t="s">
        <v>253</v>
      </c>
      <c r="D84" s="154" t="s">
        <v>41</v>
      </c>
      <c r="E84" s="157">
        <v>3</v>
      </c>
      <c r="F84" s="200"/>
      <c r="G84" s="46"/>
      <c r="H84" s="164"/>
      <c r="I84" s="182"/>
      <c r="J84" s="186"/>
      <c r="K84" s="99"/>
      <c r="L84" s="105">
        <f t="shared" ref="L84:L100" si="6">R84*1.25</f>
        <v>735.57500000000005</v>
      </c>
      <c r="M84" s="99"/>
      <c r="N84" s="99"/>
      <c r="O84" s="99"/>
      <c r="P84" s="99"/>
      <c r="Q84" s="105">
        <v>588.46</v>
      </c>
      <c r="R84" s="105">
        <f>Q84</f>
        <v>588.46</v>
      </c>
    </row>
    <row r="85" spans="1:18" ht="12.75" customHeight="1">
      <c r="A85" s="156"/>
      <c r="B85" s="156"/>
      <c r="C85" s="162"/>
      <c r="D85" s="156"/>
      <c r="E85" s="157"/>
      <c r="F85" s="159"/>
      <c r="G85" s="46"/>
      <c r="H85" s="164"/>
      <c r="I85" s="182"/>
      <c r="J85" s="186"/>
      <c r="K85" s="99"/>
      <c r="L85" s="105">
        <f t="shared" si="6"/>
        <v>0</v>
      </c>
      <c r="M85" s="99"/>
      <c r="N85" s="99"/>
      <c r="O85" s="99"/>
      <c r="P85" s="99"/>
      <c r="Q85" s="99"/>
      <c r="R85" s="99"/>
    </row>
    <row r="86" spans="1:18" ht="12.75" customHeight="1">
      <c r="A86" s="156"/>
      <c r="B86" s="156"/>
      <c r="C86" s="163" t="s">
        <v>254</v>
      </c>
      <c r="D86" s="154" t="s">
        <v>41</v>
      </c>
      <c r="E86" s="157">
        <v>42</v>
      </c>
      <c r="F86" s="159"/>
      <c r="G86" s="46"/>
      <c r="H86" s="164"/>
      <c r="I86" s="182"/>
      <c r="J86" s="186"/>
      <c r="K86" s="99"/>
      <c r="L86" s="105">
        <f t="shared" si="6"/>
        <v>816.82500000000005</v>
      </c>
      <c r="M86" s="99"/>
      <c r="N86" s="99"/>
      <c r="O86" s="99"/>
      <c r="P86" s="99"/>
      <c r="Q86" s="105">
        <v>653.46</v>
      </c>
      <c r="R86" s="105">
        <f>Q86</f>
        <v>653.46</v>
      </c>
    </row>
    <row r="87" spans="1:18" ht="12.75" customHeight="1">
      <c r="A87" s="156"/>
      <c r="B87" s="156"/>
      <c r="C87" s="162"/>
      <c r="D87" s="156"/>
      <c r="E87" s="157"/>
      <c r="F87" s="159"/>
      <c r="G87" s="46"/>
      <c r="H87" s="164"/>
      <c r="I87" s="182"/>
      <c r="J87" s="186"/>
      <c r="K87" s="99"/>
      <c r="L87" s="105">
        <f t="shared" si="6"/>
        <v>0</v>
      </c>
      <c r="M87" s="99"/>
      <c r="N87" s="99"/>
      <c r="O87" s="99"/>
      <c r="P87" s="99"/>
      <c r="Q87" s="99"/>
      <c r="R87" s="99"/>
    </row>
    <row r="88" spans="1:18" ht="12.75" customHeight="1">
      <c r="A88" s="156"/>
      <c r="B88" s="156"/>
      <c r="C88" s="163" t="s">
        <v>255</v>
      </c>
      <c r="D88" s="154" t="s">
        <v>41</v>
      </c>
      <c r="E88" s="157">
        <v>19</v>
      </c>
      <c r="F88" s="159"/>
      <c r="G88" s="46"/>
      <c r="H88" s="164"/>
      <c r="I88" s="182"/>
      <c r="J88" s="186"/>
      <c r="K88" s="99"/>
      <c r="L88" s="105">
        <f t="shared" si="6"/>
        <v>977.125</v>
      </c>
      <c r="M88" s="99"/>
      <c r="N88" s="99"/>
      <c r="O88" s="99"/>
      <c r="P88" s="99"/>
      <c r="Q88" s="105">
        <v>781.7</v>
      </c>
      <c r="R88" s="105">
        <f>Q88</f>
        <v>781.7</v>
      </c>
    </row>
    <row r="89" spans="1:18" ht="12.75" customHeight="1">
      <c r="A89" s="156"/>
      <c r="B89" s="156"/>
      <c r="C89" s="162"/>
      <c r="D89" s="156"/>
      <c r="E89" s="157"/>
      <c r="F89" s="159"/>
      <c r="G89" s="46"/>
      <c r="H89" s="164"/>
      <c r="I89" s="182"/>
      <c r="J89" s="186"/>
      <c r="K89" s="99"/>
      <c r="L89" s="105">
        <f t="shared" si="6"/>
        <v>0</v>
      </c>
      <c r="M89" s="99"/>
      <c r="N89" s="99"/>
      <c r="O89" s="99"/>
      <c r="P89" s="99"/>
      <c r="Q89" s="99"/>
      <c r="R89" s="99"/>
    </row>
    <row r="90" spans="1:18" ht="12.75" customHeight="1">
      <c r="A90" s="156"/>
      <c r="B90" s="156"/>
      <c r="C90" s="163" t="s">
        <v>256</v>
      </c>
      <c r="D90" s="154" t="s">
        <v>41</v>
      </c>
      <c r="E90" s="157">
        <v>1</v>
      </c>
      <c r="F90" s="159"/>
      <c r="G90" s="46"/>
      <c r="H90" s="164"/>
      <c r="I90" s="182"/>
      <c r="J90" s="186"/>
      <c r="K90" s="99"/>
      <c r="L90" s="105">
        <f t="shared" si="6"/>
        <v>977.125</v>
      </c>
      <c r="M90" s="99"/>
      <c r="N90" s="99"/>
      <c r="O90" s="99"/>
      <c r="P90" s="99"/>
      <c r="Q90" s="105">
        <v>781.7</v>
      </c>
      <c r="R90" s="105">
        <f>Q90</f>
        <v>781.7</v>
      </c>
    </row>
    <row r="91" spans="1:18" ht="12.75" customHeight="1">
      <c r="A91" s="156"/>
      <c r="B91" s="156"/>
      <c r="C91" s="162"/>
      <c r="D91" s="156"/>
      <c r="E91" s="157"/>
      <c r="F91" s="159"/>
      <c r="G91" s="46"/>
      <c r="H91" s="164"/>
      <c r="I91" s="182"/>
      <c r="J91" s="186"/>
      <c r="K91" s="99"/>
      <c r="L91" s="105">
        <f t="shared" si="6"/>
        <v>0</v>
      </c>
      <c r="M91" s="99"/>
      <c r="N91" s="99"/>
      <c r="O91" s="99"/>
      <c r="P91" s="99"/>
      <c r="Q91" s="99"/>
      <c r="R91" s="99"/>
    </row>
    <row r="92" spans="1:18" ht="12.75" customHeight="1">
      <c r="A92" s="156"/>
      <c r="B92" s="156"/>
      <c r="C92" s="163" t="s">
        <v>257</v>
      </c>
      <c r="D92" s="154" t="s">
        <v>41</v>
      </c>
      <c r="E92" s="157">
        <v>3</v>
      </c>
      <c r="F92" s="159"/>
      <c r="G92" s="46"/>
      <c r="H92" s="164"/>
      <c r="I92" s="182"/>
      <c r="J92" s="186"/>
      <c r="K92" s="99"/>
      <c r="L92" s="105">
        <f t="shared" si="6"/>
        <v>977.125</v>
      </c>
      <c r="M92" s="99"/>
      <c r="N92" s="99"/>
      <c r="O92" s="99"/>
      <c r="P92" s="99"/>
      <c r="Q92" s="105">
        <v>781.7</v>
      </c>
      <c r="R92" s="105">
        <f>Q92</f>
        <v>781.7</v>
      </c>
    </row>
    <row r="93" spans="1:18" ht="12.75" customHeight="1">
      <c r="A93" s="156"/>
      <c r="B93" s="156"/>
      <c r="C93" s="162"/>
      <c r="D93" s="156"/>
      <c r="E93" s="157"/>
      <c r="F93" s="159"/>
      <c r="G93" s="46"/>
      <c r="H93" s="164"/>
      <c r="I93" s="182"/>
      <c r="J93" s="186"/>
      <c r="K93" s="99"/>
      <c r="L93" s="105">
        <f t="shared" si="6"/>
        <v>0</v>
      </c>
      <c r="M93" s="99"/>
      <c r="N93" s="99"/>
      <c r="O93" s="99"/>
      <c r="P93" s="99"/>
      <c r="Q93" s="99"/>
      <c r="R93" s="99"/>
    </row>
    <row r="94" spans="1:18" ht="12.75" customHeight="1">
      <c r="A94" s="154" t="s">
        <v>258</v>
      </c>
      <c r="B94" s="156"/>
      <c r="C94" s="161" t="s">
        <v>259</v>
      </c>
      <c r="D94" s="156"/>
      <c r="E94" s="157"/>
      <c r="F94" s="159"/>
      <c r="G94" s="46"/>
      <c r="H94" s="164"/>
      <c r="I94" s="182"/>
      <c r="J94" s="186"/>
      <c r="K94" s="99"/>
      <c r="L94" s="105">
        <f t="shared" si="6"/>
        <v>0</v>
      </c>
      <c r="M94" s="99"/>
      <c r="N94" s="99"/>
      <c r="O94" s="99"/>
      <c r="P94" s="99"/>
      <c r="Q94" s="99"/>
      <c r="R94" s="99"/>
    </row>
    <row r="95" spans="1:18" ht="12.75" customHeight="1">
      <c r="A95" s="156"/>
      <c r="B95" s="156"/>
      <c r="C95" s="162"/>
      <c r="D95" s="156"/>
      <c r="E95" s="157"/>
      <c r="F95" s="159"/>
      <c r="G95" s="46"/>
      <c r="H95" s="164"/>
      <c r="I95" s="182"/>
      <c r="J95" s="186"/>
      <c r="K95" s="99"/>
      <c r="L95" s="105">
        <f t="shared" si="6"/>
        <v>0</v>
      </c>
      <c r="M95" s="99"/>
      <c r="N95" s="99"/>
      <c r="O95" s="99"/>
      <c r="P95" s="99"/>
      <c r="Q95" s="99"/>
      <c r="R95" s="99"/>
    </row>
    <row r="96" spans="1:18" ht="12.75" customHeight="1">
      <c r="A96" s="156"/>
      <c r="B96" s="156"/>
      <c r="C96" s="163" t="s">
        <v>235</v>
      </c>
      <c r="D96" s="154" t="s">
        <v>41</v>
      </c>
      <c r="E96" s="157">
        <v>64</v>
      </c>
      <c r="F96" s="159"/>
      <c r="G96" s="46"/>
      <c r="H96" s="164"/>
      <c r="I96" s="182"/>
      <c r="J96" s="186"/>
      <c r="K96" s="99"/>
      <c r="L96" s="105">
        <f t="shared" si="6"/>
        <v>469.91250000000002</v>
      </c>
      <c r="M96" s="99"/>
      <c r="N96" s="99"/>
      <c r="O96" s="99"/>
      <c r="P96" s="99"/>
      <c r="Q96" s="105">
        <v>375.93</v>
      </c>
      <c r="R96" s="105">
        <f>Q96</f>
        <v>375.93</v>
      </c>
    </row>
    <row r="97" spans="1:18" ht="12.75" customHeight="1">
      <c r="A97" s="156"/>
      <c r="B97" s="156"/>
      <c r="C97" s="162"/>
      <c r="D97" s="156"/>
      <c r="E97" s="157"/>
      <c r="F97" s="159"/>
      <c r="G97" s="46"/>
      <c r="H97" s="164"/>
      <c r="I97" s="182"/>
      <c r="J97" s="186"/>
      <c r="K97" s="99"/>
      <c r="L97" s="105">
        <f t="shared" si="6"/>
        <v>0</v>
      </c>
      <c r="M97" s="99"/>
      <c r="N97" s="99"/>
      <c r="O97" s="99"/>
      <c r="P97" s="99"/>
      <c r="Q97" s="99"/>
      <c r="R97" s="99"/>
    </row>
    <row r="98" spans="1:18" ht="12.75" customHeight="1">
      <c r="A98" s="156"/>
      <c r="B98" s="156"/>
      <c r="C98" s="163" t="s">
        <v>236</v>
      </c>
      <c r="D98" s="154" t="s">
        <v>41</v>
      </c>
      <c r="E98" s="157">
        <v>4</v>
      </c>
      <c r="F98" s="159"/>
      <c r="G98" s="46"/>
      <c r="H98" s="164"/>
      <c r="I98" s="182"/>
      <c r="J98" s="186"/>
      <c r="K98" s="99"/>
      <c r="L98" s="105">
        <f t="shared" si="6"/>
        <v>555.53750000000002</v>
      </c>
      <c r="M98" s="99"/>
      <c r="N98" s="99"/>
      <c r="O98" s="99"/>
      <c r="P98" s="99"/>
      <c r="Q98" s="105">
        <v>444.43</v>
      </c>
      <c r="R98" s="105">
        <f>Q98</f>
        <v>444.43</v>
      </c>
    </row>
    <row r="99" spans="1:18" ht="12.75" customHeight="1">
      <c r="A99" s="156"/>
      <c r="B99" s="156"/>
      <c r="C99" s="162"/>
      <c r="D99" s="156"/>
      <c r="E99" s="157"/>
      <c r="F99" s="159"/>
      <c r="G99" s="46"/>
      <c r="H99" s="164"/>
      <c r="I99" s="182"/>
      <c r="J99" s="186"/>
      <c r="K99" s="99"/>
      <c r="L99" s="105">
        <f t="shared" si="6"/>
        <v>0</v>
      </c>
      <c r="M99" s="99"/>
      <c r="N99" s="99"/>
      <c r="O99" s="99"/>
      <c r="P99" s="99"/>
      <c r="Q99" s="99"/>
      <c r="R99" s="99"/>
    </row>
    <row r="100" spans="1:18" ht="12.75" customHeight="1">
      <c r="A100" s="156"/>
      <c r="B100" s="156"/>
      <c r="C100" s="163" t="s">
        <v>237</v>
      </c>
      <c r="D100" s="154" t="s">
        <v>41</v>
      </c>
      <c r="E100" s="157">
        <v>11</v>
      </c>
      <c r="F100" s="159"/>
      <c r="G100" s="46"/>
      <c r="H100" s="164"/>
      <c r="I100" s="182"/>
      <c r="J100" s="186"/>
      <c r="K100" s="99"/>
      <c r="L100" s="105">
        <f t="shared" si="6"/>
        <v>625.79999999999995</v>
      </c>
      <c r="M100" s="99"/>
      <c r="N100" s="99"/>
      <c r="O100" s="99"/>
      <c r="P100" s="99"/>
      <c r="Q100" s="105">
        <v>500.64</v>
      </c>
      <c r="R100" s="105">
        <f>Q100</f>
        <v>500.64</v>
      </c>
    </row>
    <row r="101" spans="1:18" ht="12.75" customHeight="1">
      <c r="A101" s="156"/>
      <c r="B101" s="156"/>
      <c r="C101" s="162"/>
      <c r="D101" s="156"/>
      <c r="E101" s="157"/>
      <c r="F101" s="159"/>
      <c r="G101" s="46"/>
      <c r="H101" s="164"/>
      <c r="I101" s="182"/>
      <c r="J101" s="186"/>
      <c r="K101" s="99"/>
      <c r="L101" s="105">
        <f>J101*1.2</f>
        <v>0</v>
      </c>
      <c r="M101" s="99"/>
      <c r="N101" s="99"/>
      <c r="O101" s="99"/>
      <c r="P101" s="99"/>
      <c r="Q101" s="99"/>
      <c r="R101" s="99"/>
    </row>
    <row r="102" spans="1:18" ht="12.75" customHeight="1">
      <c r="A102" s="41" t="s">
        <v>260</v>
      </c>
      <c r="B102" s="156"/>
      <c r="C102" s="161" t="s">
        <v>261</v>
      </c>
      <c r="D102" s="43"/>
      <c r="E102" s="40"/>
      <c r="F102" s="159"/>
      <c r="G102" s="46"/>
      <c r="H102" s="199"/>
      <c r="I102" s="182"/>
      <c r="J102" s="186"/>
      <c r="K102" s="99"/>
      <c r="L102" s="105">
        <f>J102*1.2</f>
        <v>0</v>
      </c>
      <c r="M102" s="99"/>
      <c r="N102" s="99"/>
      <c r="O102" s="99"/>
      <c r="P102" s="99"/>
      <c r="Q102" s="99"/>
      <c r="R102" s="99"/>
    </row>
    <row r="103" spans="1:18" ht="12.75" customHeight="1">
      <c r="A103" s="40"/>
      <c r="B103" s="156"/>
      <c r="C103" s="166"/>
      <c r="D103" s="43"/>
      <c r="E103" s="40"/>
      <c r="F103" s="66"/>
      <c r="G103" s="46"/>
      <c r="H103" s="199">
        <f>H102+1</f>
        <v>1</v>
      </c>
      <c r="I103" s="182"/>
      <c r="J103" s="186"/>
      <c r="K103" s="99"/>
      <c r="L103" s="105">
        <f>J103*1.2</f>
        <v>0</v>
      </c>
      <c r="M103" s="99"/>
      <c r="N103" s="99"/>
      <c r="O103" s="99"/>
      <c r="P103" s="99"/>
      <c r="Q103" s="99"/>
      <c r="R103" s="99"/>
    </row>
    <row r="104" spans="1:18" ht="12.75" customHeight="1">
      <c r="A104" s="40"/>
      <c r="B104" s="156"/>
      <c r="C104" s="163" t="s">
        <v>235</v>
      </c>
      <c r="D104" s="154" t="s">
        <v>41</v>
      </c>
      <c r="E104" s="157">
        <v>11</v>
      </c>
      <c r="F104" s="159"/>
      <c r="G104" s="46"/>
      <c r="H104" s="164"/>
      <c r="I104" s="182"/>
      <c r="J104" s="185">
        <v>385.39</v>
      </c>
      <c r="K104" s="99"/>
      <c r="L104" s="105">
        <f t="shared" ref="L104:L110" si="7">J104*1.25</f>
        <v>481.73749999999995</v>
      </c>
      <c r="M104" s="99"/>
      <c r="N104" s="99"/>
      <c r="O104" s="99"/>
      <c r="P104" s="99"/>
      <c r="Q104" s="105">
        <v>384.69</v>
      </c>
      <c r="R104" s="105">
        <f>Q104</f>
        <v>384.69</v>
      </c>
    </row>
    <row r="105" spans="1:18" ht="12.75" customHeight="1">
      <c r="A105" s="40"/>
      <c r="B105" s="156"/>
      <c r="C105" s="162"/>
      <c r="D105" s="156"/>
      <c r="E105" s="156"/>
      <c r="F105" s="159"/>
      <c r="G105" s="46"/>
      <c r="H105" s="164"/>
      <c r="I105" s="182"/>
      <c r="J105" s="186"/>
      <c r="K105" s="99"/>
      <c r="L105" s="105">
        <f t="shared" si="7"/>
        <v>0</v>
      </c>
      <c r="M105" s="99"/>
      <c r="N105" s="99"/>
      <c r="O105" s="99"/>
      <c r="P105" s="99"/>
      <c r="Q105" s="99"/>
      <c r="R105" s="99"/>
    </row>
    <row r="106" spans="1:18" ht="12.75" customHeight="1">
      <c r="A106" s="40"/>
      <c r="B106" s="156"/>
      <c r="C106" s="163" t="s">
        <v>236</v>
      </c>
      <c r="D106" s="154" t="s">
        <v>41</v>
      </c>
      <c r="E106" s="157">
        <v>2</v>
      </c>
      <c r="F106" s="159"/>
      <c r="G106" s="46"/>
      <c r="H106" s="164"/>
      <c r="I106" s="182"/>
      <c r="J106" s="185">
        <v>408.16</v>
      </c>
      <c r="K106" s="99"/>
      <c r="L106" s="105">
        <f t="shared" si="7"/>
        <v>510.20000000000005</v>
      </c>
      <c r="M106" s="99"/>
      <c r="N106" s="99"/>
      <c r="O106" s="99"/>
      <c r="P106" s="99"/>
      <c r="Q106" s="105">
        <v>409.3</v>
      </c>
      <c r="R106" s="105">
        <f>Q106</f>
        <v>409.3</v>
      </c>
    </row>
    <row r="107" spans="1:18" ht="12.75" customHeight="1">
      <c r="A107" s="40"/>
      <c r="B107" s="156"/>
      <c r="C107" s="162"/>
      <c r="D107" s="156"/>
      <c r="E107" s="157"/>
      <c r="F107" s="159"/>
      <c r="G107" s="46"/>
      <c r="H107" s="164"/>
      <c r="I107" s="182"/>
      <c r="J107" s="186"/>
      <c r="K107" s="99"/>
      <c r="L107" s="105">
        <f t="shared" si="7"/>
        <v>0</v>
      </c>
      <c r="M107" s="26"/>
      <c r="N107" s="99"/>
      <c r="O107" s="99"/>
      <c r="P107" s="99"/>
      <c r="Q107" s="99"/>
      <c r="R107" s="99"/>
    </row>
    <row r="108" spans="1:18" ht="12.75" customHeight="1">
      <c r="A108" s="40"/>
      <c r="B108" s="156"/>
      <c r="C108" s="163" t="s">
        <v>237</v>
      </c>
      <c r="D108" s="154" t="s">
        <v>41</v>
      </c>
      <c r="E108" s="157">
        <v>3</v>
      </c>
      <c r="F108" s="159"/>
      <c r="G108" s="46"/>
      <c r="H108" s="164"/>
      <c r="I108" s="182"/>
      <c r="J108" s="185">
        <v>452</v>
      </c>
      <c r="K108" s="99"/>
      <c r="L108" s="105">
        <f t="shared" si="7"/>
        <v>565</v>
      </c>
      <c r="M108" s="26"/>
      <c r="N108" s="99"/>
      <c r="O108" s="99"/>
      <c r="P108" s="99"/>
      <c r="Q108" s="105">
        <v>460.25</v>
      </c>
      <c r="R108" s="105">
        <f>Q108</f>
        <v>460.25</v>
      </c>
    </row>
    <row r="109" spans="1:18" ht="12.75" customHeight="1">
      <c r="A109" s="40"/>
      <c r="B109" s="156"/>
      <c r="C109" s="162"/>
      <c r="D109" s="156"/>
      <c r="E109" s="157"/>
      <c r="F109" s="159"/>
      <c r="G109" s="46"/>
      <c r="H109" s="164"/>
      <c r="I109" s="182"/>
      <c r="J109" s="186"/>
      <c r="K109" s="99"/>
      <c r="L109" s="105">
        <f t="shared" si="7"/>
        <v>0</v>
      </c>
      <c r="M109" s="26"/>
      <c r="N109" s="99"/>
      <c r="O109" s="99"/>
      <c r="P109" s="99"/>
      <c r="Q109" s="99"/>
      <c r="R109" s="99"/>
    </row>
    <row r="110" spans="1:18" ht="12.75" customHeight="1">
      <c r="A110" s="40"/>
      <c r="B110" s="156"/>
      <c r="C110" s="163" t="s">
        <v>238</v>
      </c>
      <c r="D110" s="154" t="s">
        <v>41</v>
      </c>
      <c r="E110" s="157">
        <v>1</v>
      </c>
      <c r="F110" s="159"/>
      <c r="G110" s="46"/>
      <c r="H110" s="164"/>
      <c r="I110" s="182"/>
      <c r="J110" s="185">
        <v>567.79</v>
      </c>
      <c r="K110" s="99"/>
      <c r="L110" s="105">
        <f t="shared" si="7"/>
        <v>709.73749999999995</v>
      </c>
      <c r="M110" s="26"/>
      <c r="N110" s="99"/>
      <c r="O110" s="99"/>
      <c r="P110" s="99"/>
      <c r="Q110" s="105">
        <v>567.38</v>
      </c>
      <c r="R110" s="105">
        <f>Q110</f>
        <v>567.38</v>
      </c>
    </row>
    <row r="111" spans="1:18" ht="12.75" customHeight="1">
      <c r="A111" s="40"/>
      <c r="B111" s="156"/>
      <c r="C111" s="162"/>
      <c r="D111" s="156"/>
      <c r="E111" s="157"/>
      <c r="F111" s="66"/>
      <c r="G111" s="46"/>
      <c r="H111" s="164"/>
      <c r="I111" s="182"/>
      <c r="J111" s="186"/>
      <c r="K111" s="99"/>
      <c r="L111" s="105">
        <f>J111*1.2</f>
        <v>0</v>
      </c>
      <c r="M111" s="99"/>
      <c r="N111" s="99"/>
      <c r="O111" s="99"/>
      <c r="P111" s="99"/>
      <c r="Q111" s="99"/>
      <c r="R111" s="99"/>
    </row>
    <row r="112" spans="1:18" ht="12.75" customHeight="1">
      <c r="A112" s="41" t="s">
        <v>262</v>
      </c>
      <c r="B112" s="40"/>
      <c r="C112" s="42" t="s">
        <v>263</v>
      </c>
      <c r="D112" s="43"/>
      <c r="E112" s="40"/>
      <c r="F112" s="66"/>
      <c r="G112" s="46"/>
      <c r="H112" s="199"/>
      <c r="I112" s="182"/>
      <c r="J112" s="186"/>
      <c r="K112" s="99"/>
      <c r="L112" s="105">
        <f>J112*1.2</f>
        <v>0</v>
      </c>
      <c r="M112" s="99"/>
      <c r="N112" s="99"/>
      <c r="O112" s="99"/>
      <c r="P112" s="99"/>
      <c r="Q112" s="99"/>
      <c r="R112" s="99"/>
    </row>
    <row r="113" spans="1:18" ht="12.75" customHeight="1">
      <c r="A113" s="40"/>
      <c r="B113" s="40"/>
      <c r="C113" s="43"/>
      <c r="D113" s="43"/>
      <c r="E113" s="40"/>
      <c r="F113" s="66"/>
      <c r="G113" s="46"/>
      <c r="H113" s="199">
        <f>H112+1</f>
        <v>1</v>
      </c>
      <c r="I113" s="182"/>
      <c r="J113" s="186"/>
      <c r="K113" s="99"/>
      <c r="L113" s="105">
        <f>J113*1.2</f>
        <v>0</v>
      </c>
      <c r="M113" s="99"/>
      <c r="N113" s="99"/>
      <c r="O113" s="99"/>
      <c r="P113" s="99"/>
      <c r="Q113" s="99"/>
      <c r="R113" s="99"/>
    </row>
    <row r="114" spans="1:18" ht="12.75" customHeight="1">
      <c r="A114" s="40"/>
      <c r="B114" s="156"/>
      <c r="C114" s="163" t="s">
        <v>253</v>
      </c>
      <c r="D114" s="154" t="s">
        <v>41</v>
      </c>
      <c r="E114" s="157">
        <v>4</v>
      </c>
      <c r="F114" s="159"/>
      <c r="G114" s="46"/>
      <c r="H114" s="164"/>
      <c r="I114" s="182"/>
      <c r="J114" s="185">
        <v>228.36</v>
      </c>
      <c r="K114" s="99"/>
      <c r="L114" s="105">
        <f t="shared" ref="L114:L122" si="8">J114*1.25</f>
        <v>285.45000000000005</v>
      </c>
      <c r="M114" s="99"/>
      <c r="N114" s="99"/>
      <c r="O114" s="99"/>
      <c r="P114" s="99"/>
      <c r="Q114" s="105">
        <v>263.51</v>
      </c>
      <c r="R114" s="105">
        <f>Q114</f>
        <v>263.51</v>
      </c>
    </row>
    <row r="115" spans="1:18" ht="12.75" customHeight="1">
      <c r="A115" s="40"/>
      <c r="B115" s="156"/>
      <c r="C115" s="162"/>
      <c r="D115" s="156"/>
      <c r="E115" s="156"/>
      <c r="F115" s="159"/>
      <c r="G115" s="46"/>
      <c r="H115" s="164"/>
      <c r="I115" s="182"/>
      <c r="J115" s="186"/>
      <c r="K115" s="99"/>
      <c r="L115" s="105">
        <f t="shared" si="8"/>
        <v>0</v>
      </c>
      <c r="M115" s="99"/>
      <c r="N115" s="99"/>
      <c r="O115" s="99"/>
      <c r="P115" s="99"/>
      <c r="Q115" s="99"/>
      <c r="R115" s="99"/>
    </row>
    <row r="116" spans="1:18" ht="12.75" customHeight="1">
      <c r="A116" s="40"/>
      <c r="B116" s="156"/>
      <c r="C116" s="163" t="s">
        <v>254</v>
      </c>
      <c r="D116" s="154" t="s">
        <v>41</v>
      </c>
      <c r="E116" s="157">
        <v>14</v>
      </c>
      <c r="F116" s="159"/>
      <c r="G116" s="46"/>
      <c r="H116" s="164"/>
      <c r="I116" s="182"/>
      <c r="J116" s="185">
        <v>298.63</v>
      </c>
      <c r="K116" s="99"/>
      <c r="L116" s="105">
        <f t="shared" si="8"/>
        <v>373.28750000000002</v>
      </c>
      <c r="M116" s="99"/>
      <c r="N116" s="99"/>
      <c r="O116" s="99"/>
      <c r="P116" s="99"/>
      <c r="Q116" s="105">
        <v>281.06</v>
      </c>
      <c r="R116" s="105">
        <f>Q116</f>
        <v>281.06</v>
      </c>
    </row>
    <row r="117" spans="1:18" ht="12.75" customHeight="1">
      <c r="A117" s="40"/>
      <c r="B117" s="156"/>
      <c r="C117" s="162"/>
      <c r="D117" s="156"/>
      <c r="E117" s="157"/>
      <c r="F117" s="159"/>
      <c r="G117" s="46"/>
      <c r="H117" s="164"/>
      <c r="I117" s="182"/>
      <c r="J117" s="186"/>
      <c r="K117" s="99"/>
      <c r="L117" s="105">
        <f t="shared" si="8"/>
        <v>0</v>
      </c>
      <c r="M117" s="99"/>
      <c r="N117" s="99"/>
      <c r="O117" s="99"/>
      <c r="P117" s="99"/>
      <c r="Q117" s="99"/>
      <c r="R117" s="99"/>
    </row>
    <row r="118" spans="1:18" ht="12.75" customHeight="1">
      <c r="A118" s="40"/>
      <c r="B118" s="156"/>
      <c r="C118" s="163" t="s">
        <v>264</v>
      </c>
      <c r="D118" s="154" t="s">
        <v>41</v>
      </c>
      <c r="E118" s="157">
        <v>1</v>
      </c>
      <c r="F118" s="159"/>
      <c r="G118" s="46"/>
      <c r="H118" s="164"/>
      <c r="I118" s="182"/>
      <c r="J118" s="185">
        <v>298.63</v>
      </c>
      <c r="K118" s="99"/>
      <c r="L118" s="105">
        <f t="shared" si="8"/>
        <v>373.28750000000002</v>
      </c>
      <c r="M118" s="99"/>
      <c r="N118" s="99"/>
      <c r="O118" s="99"/>
      <c r="P118" s="99"/>
      <c r="Q118" s="105">
        <v>314.43</v>
      </c>
      <c r="R118" s="105">
        <f>Q118</f>
        <v>314.43</v>
      </c>
    </row>
    <row r="119" spans="1:18" ht="12.75" customHeight="1">
      <c r="A119" s="40"/>
      <c r="B119" s="156"/>
      <c r="C119" s="162"/>
      <c r="D119" s="156"/>
      <c r="E119" s="157"/>
      <c r="F119" s="159"/>
      <c r="G119" s="46"/>
      <c r="H119" s="164"/>
      <c r="I119" s="182"/>
      <c r="J119" s="186"/>
      <c r="K119" s="99"/>
      <c r="L119" s="105">
        <f t="shared" si="8"/>
        <v>0</v>
      </c>
      <c r="M119" s="99"/>
      <c r="N119" s="99"/>
      <c r="O119" s="99"/>
      <c r="P119" s="99"/>
      <c r="Q119" s="99"/>
      <c r="R119" s="99"/>
    </row>
    <row r="120" spans="1:18" ht="12.75" customHeight="1">
      <c r="A120" s="40"/>
      <c r="B120" s="156"/>
      <c r="C120" s="163" t="s">
        <v>265</v>
      </c>
      <c r="D120" s="154" t="s">
        <v>41</v>
      </c>
      <c r="E120" s="157">
        <v>5</v>
      </c>
      <c r="F120" s="159"/>
      <c r="G120" s="46"/>
      <c r="H120" s="164"/>
      <c r="I120" s="182"/>
      <c r="J120" s="185">
        <v>539.64</v>
      </c>
      <c r="K120" s="99"/>
      <c r="L120" s="105">
        <f t="shared" si="8"/>
        <v>674.55</v>
      </c>
      <c r="M120" s="99"/>
      <c r="N120" s="99"/>
      <c r="O120" s="99"/>
      <c r="P120" s="99"/>
      <c r="Q120" s="105">
        <v>314.43</v>
      </c>
      <c r="R120" s="105">
        <f>Q120</f>
        <v>314.43</v>
      </c>
    </row>
    <row r="121" spans="1:18" ht="12.75" customHeight="1">
      <c r="A121" s="40"/>
      <c r="B121" s="156"/>
      <c r="C121" s="162"/>
      <c r="D121" s="156"/>
      <c r="E121" s="157"/>
      <c r="F121" s="159"/>
      <c r="G121" s="46"/>
      <c r="H121" s="164"/>
      <c r="I121" s="182"/>
      <c r="J121" s="186"/>
      <c r="K121" s="99"/>
      <c r="L121" s="105">
        <f t="shared" si="8"/>
        <v>0</v>
      </c>
      <c r="M121" s="99"/>
      <c r="N121" s="99"/>
      <c r="O121" s="99"/>
      <c r="P121" s="99"/>
      <c r="Q121" s="99"/>
      <c r="R121" s="99"/>
    </row>
    <row r="122" spans="1:18" ht="12.75" customHeight="1">
      <c r="A122" s="40"/>
      <c r="B122" s="156"/>
      <c r="C122" s="163" t="s">
        <v>266</v>
      </c>
      <c r="D122" s="154" t="s">
        <v>41</v>
      </c>
      <c r="E122" s="157">
        <v>1</v>
      </c>
      <c r="F122" s="159"/>
      <c r="G122" s="46"/>
      <c r="H122" s="164"/>
      <c r="I122" s="182"/>
      <c r="J122" s="185">
        <v>434.23200000000003</v>
      </c>
      <c r="K122" s="99"/>
      <c r="L122" s="105">
        <f t="shared" si="8"/>
        <v>542.79000000000008</v>
      </c>
      <c r="M122" s="99"/>
      <c r="N122" s="99"/>
      <c r="O122" s="99"/>
      <c r="P122" s="99"/>
      <c r="Q122" s="105">
        <v>314.43</v>
      </c>
      <c r="R122" s="105">
        <f>Q122</f>
        <v>314.43</v>
      </c>
    </row>
    <row r="123" spans="1:18" s="446" customFormat="1" ht="12.75" customHeight="1">
      <c r="A123" s="40"/>
      <c r="B123" s="156"/>
      <c r="C123" s="163"/>
      <c r="D123" s="154"/>
      <c r="E123" s="157"/>
      <c r="F123" s="159"/>
      <c r="G123" s="46"/>
      <c r="H123" s="164"/>
      <c r="I123" s="182"/>
      <c r="J123" s="185"/>
      <c r="K123" s="99"/>
      <c r="L123" s="105"/>
      <c r="M123" s="99"/>
      <c r="N123" s="99"/>
      <c r="O123" s="99"/>
      <c r="P123" s="99"/>
      <c r="Q123" s="105"/>
      <c r="R123" s="105"/>
    </row>
    <row r="124" spans="1:18" s="446" customFormat="1" ht="12.75" customHeight="1">
      <c r="A124" s="40"/>
      <c r="B124" s="156"/>
      <c r="C124" s="163"/>
      <c r="D124" s="154"/>
      <c r="E124" s="157"/>
      <c r="F124" s="159"/>
      <c r="G124" s="46"/>
      <c r="H124" s="164"/>
      <c r="I124" s="182"/>
      <c r="J124" s="185"/>
      <c r="K124" s="99"/>
      <c r="L124" s="105"/>
      <c r="M124" s="99"/>
      <c r="N124" s="99"/>
      <c r="O124" s="99"/>
      <c r="P124" s="99"/>
      <c r="Q124" s="105"/>
      <c r="R124" s="105"/>
    </row>
    <row r="125" spans="1:18" s="446" customFormat="1" ht="12.75" customHeight="1">
      <c r="A125" s="40"/>
      <c r="B125" s="156"/>
      <c r="C125" s="163"/>
      <c r="D125" s="154"/>
      <c r="E125" s="157"/>
      <c r="F125" s="159"/>
      <c r="G125" s="46"/>
      <c r="H125" s="164"/>
      <c r="I125" s="182"/>
      <c r="J125" s="185"/>
      <c r="K125" s="99"/>
      <c r="L125" s="105"/>
      <c r="M125" s="99"/>
      <c r="N125" s="99"/>
      <c r="O125" s="99"/>
      <c r="P125" s="99"/>
      <c r="Q125" s="105"/>
      <c r="R125" s="105"/>
    </row>
    <row r="126" spans="1:18" s="446" customFormat="1" ht="12.75" customHeight="1">
      <c r="A126" s="40"/>
      <c r="B126" s="156"/>
      <c r="C126" s="163"/>
      <c r="D126" s="154"/>
      <c r="E126" s="157"/>
      <c r="F126" s="159"/>
      <c r="G126" s="46"/>
      <c r="H126" s="164"/>
      <c r="I126" s="182"/>
      <c r="J126" s="185"/>
      <c r="K126" s="99"/>
      <c r="L126" s="105"/>
      <c r="M126" s="99"/>
      <c r="N126" s="99"/>
      <c r="O126" s="99"/>
      <c r="P126" s="99"/>
      <c r="Q126" s="105"/>
      <c r="R126" s="105"/>
    </row>
    <row r="127" spans="1:18" s="446" customFormat="1" ht="12.75" customHeight="1">
      <c r="A127" s="40"/>
      <c r="B127" s="156"/>
      <c r="C127" s="163"/>
      <c r="D127" s="154"/>
      <c r="E127" s="157"/>
      <c r="F127" s="159"/>
      <c r="G127" s="46"/>
      <c r="H127" s="164"/>
      <c r="I127" s="182"/>
      <c r="J127" s="185"/>
      <c r="K127" s="99"/>
      <c r="L127" s="105"/>
      <c r="M127" s="99"/>
      <c r="N127" s="99"/>
      <c r="O127" s="99"/>
      <c r="P127" s="99"/>
      <c r="Q127" s="105"/>
      <c r="R127" s="105"/>
    </row>
    <row r="128" spans="1:18" s="446" customFormat="1" ht="12.75" customHeight="1">
      <c r="A128" s="40"/>
      <c r="B128" s="156"/>
      <c r="C128" s="163"/>
      <c r="D128" s="154"/>
      <c r="E128" s="157"/>
      <c r="F128" s="159"/>
      <c r="G128" s="46"/>
      <c r="H128" s="164"/>
      <c r="I128" s="182"/>
      <c r="J128" s="185"/>
      <c r="K128" s="99"/>
      <c r="L128" s="105"/>
      <c r="M128" s="99"/>
      <c r="N128" s="99"/>
      <c r="O128" s="99"/>
      <c r="P128" s="99"/>
      <c r="Q128" s="105"/>
      <c r="R128" s="105"/>
    </row>
    <row r="129" spans="1:18" s="446" customFormat="1" ht="12.75" customHeight="1">
      <c r="A129" s="40"/>
      <c r="B129" s="156"/>
      <c r="C129" s="163"/>
      <c r="D129" s="154"/>
      <c r="E129" s="157"/>
      <c r="F129" s="159"/>
      <c r="G129" s="46"/>
      <c r="H129" s="164"/>
      <c r="I129" s="182"/>
      <c r="J129" s="185"/>
      <c r="K129" s="99"/>
      <c r="L129" s="105"/>
      <c r="M129" s="99"/>
      <c r="N129" s="99"/>
      <c r="O129" s="99"/>
      <c r="P129" s="99"/>
      <c r="Q129" s="105"/>
      <c r="R129" s="105"/>
    </row>
    <row r="130" spans="1:18" s="446" customFormat="1" ht="12.75" customHeight="1">
      <c r="A130" s="40"/>
      <c r="B130" s="156"/>
      <c r="C130" s="163"/>
      <c r="D130" s="154"/>
      <c r="E130" s="157"/>
      <c r="F130" s="159"/>
      <c r="G130" s="46"/>
      <c r="H130" s="164"/>
      <c r="I130" s="182"/>
      <c r="J130" s="185"/>
      <c r="K130" s="99"/>
      <c r="L130" s="105"/>
      <c r="M130" s="99"/>
      <c r="N130" s="99"/>
      <c r="O130" s="99"/>
      <c r="P130" s="99"/>
      <c r="Q130" s="105"/>
      <c r="R130" s="105"/>
    </row>
    <row r="131" spans="1:18" s="446" customFormat="1" ht="12.75" customHeight="1">
      <c r="A131" s="40"/>
      <c r="B131" s="156"/>
      <c r="C131" s="163"/>
      <c r="D131" s="154"/>
      <c r="E131" s="157"/>
      <c r="F131" s="159"/>
      <c r="G131" s="46"/>
      <c r="H131" s="164"/>
      <c r="I131" s="182"/>
      <c r="J131" s="185"/>
      <c r="K131" s="99"/>
      <c r="L131" s="105"/>
      <c r="M131" s="99"/>
      <c r="N131" s="99"/>
      <c r="O131" s="99"/>
      <c r="P131" s="99"/>
      <c r="Q131" s="105"/>
      <c r="R131" s="105"/>
    </row>
    <row r="132" spans="1:18" s="446" customFormat="1" ht="12.75" customHeight="1">
      <c r="A132" s="40"/>
      <c r="B132" s="156"/>
      <c r="C132" s="163"/>
      <c r="D132" s="154"/>
      <c r="E132" s="157"/>
      <c r="F132" s="159"/>
      <c r="G132" s="46"/>
      <c r="H132" s="164"/>
      <c r="I132" s="182"/>
      <c r="J132" s="185"/>
      <c r="K132" s="99"/>
      <c r="L132" s="105"/>
      <c r="M132" s="99"/>
      <c r="N132" s="99"/>
      <c r="O132" s="99"/>
      <c r="P132" s="99"/>
      <c r="Q132" s="105"/>
      <c r="R132" s="105"/>
    </row>
    <row r="133" spans="1:18" s="446" customFormat="1" ht="12.75" customHeight="1">
      <c r="A133" s="40"/>
      <c r="B133" s="156"/>
      <c r="C133" s="163"/>
      <c r="D133" s="154"/>
      <c r="E133" s="157"/>
      <c r="F133" s="159"/>
      <c r="G133" s="46"/>
      <c r="H133" s="164"/>
      <c r="I133" s="182"/>
      <c r="J133" s="185"/>
      <c r="K133" s="99"/>
      <c r="L133" s="105"/>
      <c r="M133" s="99"/>
      <c r="N133" s="99"/>
      <c r="O133" s="99"/>
      <c r="P133" s="99"/>
      <c r="Q133" s="105"/>
      <c r="R133" s="105"/>
    </row>
    <row r="134" spans="1:18" s="446" customFormat="1" ht="12.75" customHeight="1">
      <c r="A134" s="40"/>
      <c r="B134" s="156"/>
      <c r="C134" s="163"/>
      <c r="D134" s="154"/>
      <c r="E134" s="157"/>
      <c r="F134" s="159"/>
      <c r="G134" s="46"/>
      <c r="H134" s="164"/>
      <c r="I134" s="182"/>
      <c r="J134" s="185"/>
      <c r="K134" s="99"/>
      <c r="L134" s="105"/>
      <c r="M134" s="99"/>
      <c r="N134" s="99"/>
      <c r="O134" s="99"/>
      <c r="P134" s="99"/>
      <c r="Q134" s="105"/>
      <c r="R134" s="105"/>
    </row>
    <row r="135" spans="1:18" s="446" customFormat="1" ht="12.75" customHeight="1">
      <c r="A135" s="40"/>
      <c r="B135" s="156"/>
      <c r="C135" s="163"/>
      <c r="D135" s="154"/>
      <c r="E135" s="157"/>
      <c r="F135" s="159"/>
      <c r="G135" s="46"/>
      <c r="H135" s="164"/>
      <c r="I135" s="182"/>
      <c r="J135" s="185"/>
      <c r="K135" s="99"/>
      <c r="L135" s="105"/>
      <c r="M135" s="99"/>
      <c r="N135" s="99"/>
      <c r="O135" s="99"/>
      <c r="P135" s="99"/>
      <c r="Q135" s="105"/>
      <c r="R135" s="105"/>
    </row>
    <row r="136" spans="1:18" s="446" customFormat="1" ht="12.75" customHeight="1">
      <c r="A136" s="40"/>
      <c r="B136" s="156"/>
      <c r="C136" s="163"/>
      <c r="D136" s="154"/>
      <c r="E136" s="157"/>
      <c r="F136" s="159"/>
      <c r="G136" s="46"/>
      <c r="H136" s="164"/>
      <c r="I136" s="182"/>
      <c r="J136" s="185"/>
      <c r="K136" s="99"/>
      <c r="L136" s="105"/>
      <c r="M136" s="99"/>
      <c r="N136" s="99"/>
      <c r="O136" s="99"/>
      <c r="P136" s="99"/>
      <c r="Q136" s="105"/>
      <c r="R136" s="105"/>
    </row>
    <row r="137" spans="1:18" s="446" customFormat="1" ht="12.75" customHeight="1">
      <c r="A137" s="40"/>
      <c r="B137" s="156"/>
      <c r="C137" s="163"/>
      <c r="D137" s="154"/>
      <c r="E137" s="157"/>
      <c r="F137" s="159"/>
      <c r="G137" s="46"/>
      <c r="H137" s="164"/>
      <c r="I137" s="182"/>
      <c r="J137" s="185"/>
      <c r="K137" s="99"/>
      <c r="L137" s="105"/>
      <c r="M137" s="99"/>
      <c r="N137" s="99"/>
      <c r="O137" s="99"/>
      <c r="P137" s="99"/>
      <c r="Q137" s="105"/>
      <c r="R137" s="105"/>
    </row>
    <row r="138" spans="1:18" ht="12.75" customHeight="1">
      <c r="A138" s="40"/>
      <c r="B138" s="156"/>
      <c r="C138" s="163"/>
      <c r="D138" s="154"/>
      <c r="E138" s="157"/>
      <c r="F138" s="159"/>
      <c r="G138" s="46"/>
      <c r="H138" s="164"/>
      <c r="I138" s="182"/>
      <c r="J138" s="186"/>
      <c r="K138" s="99"/>
      <c r="L138" s="105">
        <f t="shared" ref="L138:L141" si="9">J138*1.2</f>
        <v>0</v>
      </c>
      <c r="M138" s="99"/>
      <c r="N138" s="99"/>
      <c r="O138" s="99"/>
      <c r="P138" s="99"/>
      <c r="Q138" s="99"/>
      <c r="R138" s="99"/>
    </row>
    <row r="139" spans="1:18" ht="24" customHeight="1">
      <c r="A139" s="464" t="s">
        <v>248</v>
      </c>
      <c r="B139" s="465"/>
      <c r="C139" s="465"/>
      <c r="D139" s="465"/>
      <c r="E139" s="465"/>
      <c r="F139" s="465"/>
      <c r="G139" s="177">
        <f>SUM(G70:G138)</f>
        <v>0</v>
      </c>
      <c r="H139" s="179" t="s">
        <v>159</v>
      </c>
      <c r="I139" s="182"/>
      <c r="J139" s="186"/>
      <c r="K139" s="99"/>
      <c r="L139" s="105">
        <f t="shared" si="9"/>
        <v>0</v>
      </c>
      <c r="M139" s="99"/>
      <c r="N139" s="99"/>
      <c r="O139" s="99"/>
      <c r="P139" s="99"/>
      <c r="Q139" s="99"/>
      <c r="R139" s="99"/>
    </row>
    <row r="140" spans="1:18" ht="24" customHeight="1">
      <c r="A140" s="464" t="s">
        <v>249</v>
      </c>
      <c r="B140" s="465"/>
      <c r="C140" s="465"/>
      <c r="D140" s="465"/>
      <c r="E140" s="465"/>
      <c r="F140" s="465"/>
      <c r="G140" s="177">
        <f>G139</f>
        <v>0</v>
      </c>
      <c r="H140" s="179" t="s">
        <v>160</v>
      </c>
      <c r="I140" s="182"/>
      <c r="J140" s="186"/>
      <c r="K140" s="99"/>
      <c r="L140" s="105">
        <f t="shared" si="9"/>
        <v>0</v>
      </c>
      <c r="M140" s="99"/>
      <c r="N140" s="99"/>
      <c r="O140" s="99"/>
      <c r="P140" s="99"/>
      <c r="Q140" s="99"/>
      <c r="R140" s="99"/>
    </row>
    <row r="141" spans="1:18" ht="12.75" customHeight="1">
      <c r="A141" s="38"/>
      <c r="B141" s="141"/>
      <c r="C141" s="148"/>
      <c r="D141" s="141"/>
      <c r="E141" s="143"/>
      <c r="F141" s="94"/>
      <c r="G141" s="198"/>
      <c r="H141" s="164"/>
      <c r="I141" s="182"/>
      <c r="J141" s="186"/>
      <c r="K141" s="99"/>
      <c r="L141" s="105">
        <f t="shared" si="9"/>
        <v>0</v>
      </c>
      <c r="M141" s="99"/>
      <c r="N141" s="99"/>
      <c r="O141" s="99"/>
      <c r="P141" s="99"/>
      <c r="Q141" s="99"/>
      <c r="R141" s="99"/>
    </row>
    <row r="142" spans="1:18" ht="12.75" customHeight="1">
      <c r="A142" s="40"/>
      <c r="B142" s="156"/>
      <c r="C142" s="163" t="s">
        <v>267</v>
      </c>
      <c r="D142" s="154" t="s">
        <v>41</v>
      </c>
      <c r="E142" s="157">
        <v>4</v>
      </c>
      <c r="F142" s="159"/>
      <c r="G142" s="46"/>
      <c r="H142" s="164"/>
      <c r="I142" s="182"/>
      <c r="J142" s="185">
        <v>361.86</v>
      </c>
      <c r="K142" s="99"/>
      <c r="L142" s="105">
        <f>J142*1.25</f>
        <v>452.32500000000005</v>
      </c>
      <c r="M142" s="99"/>
      <c r="N142" s="99"/>
      <c r="O142" s="99"/>
      <c r="P142" s="99"/>
      <c r="Q142" s="105">
        <v>361.88</v>
      </c>
      <c r="R142" s="105">
        <f>Q142</f>
        <v>361.88</v>
      </c>
    </row>
    <row r="143" spans="1:18" ht="12.75" customHeight="1">
      <c r="A143" s="40"/>
      <c r="B143" s="156"/>
      <c r="C143" s="162"/>
      <c r="D143" s="156"/>
      <c r="E143" s="157"/>
      <c r="F143" s="66"/>
      <c r="G143" s="46"/>
      <c r="H143" s="164"/>
      <c r="I143" s="182"/>
      <c r="J143" s="186"/>
      <c r="K143" s="99"/>
      <c r="L143" s="99"/>
      <c r="M143" s="99"/>
      <c r="N143" s="99"/>
      <c r="O143" s="99"/>
      <c r="P143" s="99"/>
      <c r="Q143" s="99"/>
      <c r="R143" s="99"/>
    </row>
    <row r="144" spans="1:18" ht="12.75" customHeight="1">
      <c r="A144" s="41" t="s">
        <v>268</v>
      </c>
      <c r="B144" s="156"/>
      <c r="C144" s="161" t="s">
        <v>269</v>
      </c>
      <c r="D144" s="156"/>
      <c r="E144" s="157"/>
      <c r="F144" s="66"/>
      <c r="G144" s="46"/>
      <c r="H144" s="164"/>
      <c r="I144" s="182"/>
      <c r="J144" s="186"/>
      <c r="K144" s="99"/>
      <c r="L144" s="99"/>
      <c r="M144" s="99"/>
      <c r="N144" s="99"/>
      <c r="O144" s="99"/>
      <c r="P144" s="99"/>
      <c r="Q144" s="99"/>
      <c r="R144" s="99"/>
    </row>
    <row r="145" spans="1:18" ht="12.75" customHeight="1">
      <c r="A145" s="40"/>
      <c r="B145" s="156"/>
      <c r="C145" s="166"/>
      <c r="D145" s="156"/>
      <c r="E145" s="157"/>
      <c r="F145" s="66"/>
      <c r="G145" s="46"/>
      <c r="H145" s="164"/>
      <c r="I145" s="182"/>
      <c r="J145" s="186"/>
      <c r="K145" s="99"/>
      <c r="L145" s="99"/>
      <c r="M145" s="99"/>
      <c r="N145" s="99"/>
      <c r="O145" s="99"/>
      <c r="P145" s="99"/>
      <c r="Q145" s="99"/>
      <c r="R145" s="99"/>
    </row>
    <row r="146" spans="1:18" ht="12.75" customHeight="1">
      <c r="A146" s="40"/>
      <c r="B146" s="156"/>
      <c r="C146" s="163" t="s">
        <v>235</v>
      </c>
      <c r="D146" s="154" t="s">
        <v>41</v>
      </c>
      <c r="E146" s="157">
        <v>13</v>
      </c>
      <c r="F146" s="159"/>
      <c r="G146" s="46"/>
      <c r="H146" s="164"/>
      <c r="I146" s="182"/>
      <c r="J146" s="185">
        <v>137.03</v>
      </c>
      <c r="K146" s="99"/>
      <c r="L146" s="105">
        <f t="shared" ref="L146:L171" si="10">J146*1.25</f>
        <v>171.28749999999999</v>
      </c>
      <c r="M146" s="99"/>
      <c r="N146" s="99"/>
      <c r="O146" s="99"/>
      <c r="P146" s="99"/>
      <c r="Q146" s="105">
        <v>137.03</v>
      </c>
      <c r="R146" s="105">
        <f>Q146</f>
        <v>137.03</v>
      </c>
    </row>
    <row r="147" spans="1:18" ht="12.75" customHeight="1">
      <c r="A147" s="40"/>
      <c r="B147" s="40"/>
      <c r="C147" s="43"/>
      <c r="D147" s="156"/>
      <c r="E147" s="157"/>
      <c r="F147" s="66"/>
      <c r="G147" s="46"/>
      <c r="H147" s="164"/>
      <c r="I147" s="182"/>
      <c r="J147" s="186"/>
      <c r="K147" s="99"/>
      <c r="L147" s="105">
        <f t="shared" si="10"/>
        <v>0</v>
      </c>
      <c r="M147" s="99"/>
      <c r="N147" s="99"/>
      <c r="O147" s="99"/>
      <c r="P147" s="99"/>
      <c r="Q147" s="99"/>
      <c r="R147" s="99"/>
    </row>
    <row r="148" spans="1:18" ht="12.75" customHeight="1">
      <c r="A148" s="44">
        <v>4.3</v>
      </c>
      <c r="B148" s="154" t="s">
        <v>270</v>
      </c>
      <c r="C148" s="161" t="s">
        <v>271</v>
      </c>
      <c r="D148" s="201"/>
      <c r="E148" s="156"/>
      <c r="F148" s="202"/>
      <c r="G148" s="203"/>
      <c r="H148" s="204"/>
      <c r="I148" s="182"/>
      <c r="J148" s="186"/>
      <c r="K148" s="99"/>
      <c r="L148" s="105">
        <f t="shared" si="10"/>
        <v>0</v>
      </c>
      <c r="M148" s="99"/>
      <c r="N148" s="99"/>
      <c r="O148" s="99"/>
      <c r="P148" s="99"/>
      <c r="Q148" s="99"/>
      <c r="R148" s="99"/>
    </row>
    <row r="149" spans="1:18" ht="12.75" customHeight="1">
      <c r="A149" s="156"/>
      <c r="B149" s="156"/>
      <c r="C149" s="162"/>
      <c r="D149" s="156"/>
      <c r="E149" s="156"/>
      <c r="F149" s="205"/>
      <c r="G149" s="205"/>
      <c r="H149" s="204">
        <f>H148+1</f>
        <v>1</v>
      </c>
      <c r="I149" s="182"/>
      <c r="J149" s="186"/>
      <c r="K149" s="99"/>
      <c r="L149" s="105">
        <f t="shared" si="10"/>
        <v>0</v>
      </c>
      <c r="M149" s="99"/>
      <c r="N149" s="99"/>
      <c r="O149" s="99"/>
      <c r="P149" s="99"/>
      <c r="Q149" s="99"/>
      <c r="R149" s="99"/>
    </row>
    <row r="150" spans="1:18" ht="38.25" customHeight="1">
      <c r="A150" s="40"/>
      <c r="B150" s="154" t="s">
        <v>272</v>
      </c>
      <c r="C150" s="163" t="s">
        <v>273</v>
      </c>
      <c r="D150" s="43"/>
      <c r="E150" s="40"/>
      <c r="F150" s="206"/>
      <c r="G150" s="206"/>
      <c r="H150" s="204">
        <f>H149+1</f>
        <v>2</v>
      </c>
      <c r="I150" s="182"/>
      <c r="J150" s="186"/>
      <c r="K150" s="99"/>
      <c r="L150" s="105">
        <f t="shared" si="10"/>
        <v>0</v>
      </c>
      <c r="M150" s="99"/>
      <c r="N150" s="99"/>
      <c r="O150" s="99"/>
      <c r="P150" s="99"/>
      <c r="Q150" s="99"/>
      <c r="R150" s="99"/>
    </row>
    <row r="151" spans="1:18" ht="12.75" customHeight="1">
      <c r="A151" s="40"/>
      <c r="B151" s="156"/>
      <c r="C151" s="162"/>
      <c r="D151" s="43"/>
      <c r="E151" s="40"/>
      <c r="F151" s="206"/>
      <c r="G151" s="206"/>
      <c r="H151" s="207"/>
      <c r="I151" s="182"/>
      <c r="J151" s="186"/>
      <c r="K151" s="99"/>
      <c r="L151" s="105">
        <f t="shared" si="10"/>
        <v>0</v>
      </c>
      <c r="M151" s="99"/>
      <c r="N151" s="99"/>
      <c r="O151" s="99"/>
      <c r="P151" s="99"/>
      <c r="Q151" s="99"/>
      <c r="R151" s="99"/>
    </row>
    <row r="152" spans="1:18" ht="12.75" customHeight="1">
      <c r="A152" s="40"/>
      <c r="B152" s="156"/>
      <c r="C152" s="163" t="s">
        <v>235</v>
      </c>
      <c r="D152" s="154" t="s">
        <v>41</v>
      </c>
      <c r="E152" s="157">
        <v>4</v>
      </c>
      <c r="F152" s="159"/>
      <c r="G152" s="46"/>
      <c r="H152" s="207"/>
      <c r="I152" s="182"/>
      <c r="J152" s="185">
        <v>3538.46</v>
      </c>
      <c r="K152" s="99"/>
      <c r="L152" s="105">
        <f t="shared" si="10"/>
        <v>4423.0749999999998</v>
      </c>
      <c r="M152" s="99"/>
      <c r="N152" s="99"/>
      <c r="O152" s="99"/>
      <c r="P152" s="99"/>
      <c r="Q152" s="105">
        <v>3538.46</v>
      </c>
      <c r="R152" s="105">
        <f>Q152</f>
        <v>3538.46</v>
      </c>
    </row>
    <row r="153" spans="1:18" ht="12.75" customHeight="1">
      <c r="A153" s="40"/>
      <c r="B153" s="156"/>
      <c r="C153" s="162"/>
      <c r="D153" s="156"/>
      <c r="E153" s="157"/>
      <c r="F153" s="159"/>
      <c r="G153" s="46"/>
      <c r="H153" s="207"/>
      <c r="I153" s="182"/>
      <c r="J153" s="186"/>
      <c r="K153" s="99"/>
      <c r="L153" s="105">
        <f t="shared" si="10"/>
        <v>0</v>
      </c>
      <c r="M153" s="99"/>
      <c r="N153" s="99"/>
      <c r="O153" s="99"/>
      <c r="P153" s="99"/>
      <c r="Q153" s="99"/>
      <c r="R153" s="99"/>
    </row>
    <row r="154" spans="1:18" ht="12.75" customHeight="1">
      <c r="A154" s="40"/>
      <c r="B154" s="156"/>
      <c r="C154" s="163" t="s">
        <v>236</v>
      </c>
      <c r="D154" s="154" t="s">
        <v>41</v>
      </c>
      <c r="E154" s="157">
        <v>1</v>
      </c>
      <c r="F154" s="159"/>
      <c r="G154" s="46"/>
      <c r="H154" s="207"/>
      <c r="I154" s="182"/>
      <c r="J154" s="185">
        <v>3538.46</v>
      </c>
      <c r="K154" s="99"/>
      <c r="L154" s="105">
        <f t="shared" si="10"/>
        <v>4423.0749999999998</v>
      </c>
      <c r="M154" s="99"/>
      <c r="N154" s="99"/>
      <c r="O154" s="99"/>
      <c r="P154" s="99"/>
      <c r="Q154" s="105">
        <v>3538.46</v>
      </c>
      <c r="R154" s="105">
        <f>Q154</f>
        <v>3538.46</v>
      </c>
    </row>
    <row r="155" spans="1:18" ht="12.75" customHeight="1">
      <c r="A155" s="40"/>
      <c r="B155" s="156"/>
      <c r="C155" s="162"/>
      <c r="D155" s="156"/>
      <c r="E155" s="157"/>
      <c r="F155" s="159"/>
      <c r="G155" s="46"/>
      <c r="H155" s="207"/>
      <c r="I155" s="99"/>
      <c r="J155" s="99"/>
      <c r="K155" s="99"/>
      <c r="L155" s="105">
        <f t="shared" si="10"/>
        <v>0</v>
      </c>
      <c r="M155" s="99"/>
      <c r="N155" s="99"/>
      <c r="O155" s="99"/>
      <c r="P155" s="99"/>
      <c r="Q155" s="99"/>
      <c r="R155" s="99"/>
    </row>
    <row r="156" spans="1:18" ht="12.75" customHeight="1">
      <c r="A156" s="40"/>
      <c r="B156" s="156"/>
      <c r="C156" s="163" t="s">
        <v>237</v>
      </c>
      <c r="D156" s="154" t="s">
        <v>41</v>
      </c>
      <c r="E156" s="157">
        <v>1</v>
      </c>
      <c r="F156" s="159"/>
      <c r="G156" s="46"/>
      <c r="H156" s="204"/>
      <c r="I156" s="182"/>
      <c r="J156" s="185">
        <v>3592.4</v>
      </c>
      <c r="K156" s="99"/>
      <c r="L156" s="105">
        <f t="shared" si="10"/>
        <v>4490.5</v>
      </c>
      <c r="M156" s="99"/>
      <c r="N156" s="99"/>
      <c r="O156" s="99"/>
      <c r="P156" s="99"/>
      <c r="Q156" s="105">
        <v>3592.4</v>
      </c>
      <c r="R156" s="105">
        <f>Q156</f>
        <v>3592.4</v>
      </c>
    </row>
    <row r="157" spans="1:18" ht="12.75" customHeight="1">
      <c r="A157" s="40"/>
      <c r="B157" s="156"/>
      <c r="C157" s="162"/>
      <c r="D157" s="156"/>
      <c r="E157" s="157"/>
      <c r="F157" s="159"/>
      <c r="G157" s="46"/>
      <c r="H157" s="207"/>
      <c r="I157" s="182"/>
      <c r="J157" s="186"/>
      <c r="K157" s="99"/>
      <c r="L157" s="105">
        <f t="shared" si="10"/>
        <v>0</v>
      </c>
      <c r="M157" s="99"/>
      <c r="N157" s="99"/>
      <c r="O157" s="99"/>
      <c r="P157" s="99"/>
      <c r="Q157" s="99"/>
      <c r="R157" s="99"/>
    </row>
    <row r="158" spans="1:18" ht="12.75" customHeight="1">
      <c r="A158" s="40"/>
      <c r="B158" s="156"/>
      <c r="C158" s="163" t="s">
        <v>238</v>
      </c>
      <c r="D158" s="154" t="s">
        <v>41</v>
      </c>
      <c r="E158" s="157">
        <v>6</v>
      </c>
      <c r="F158" s="159"/>
      <c r="G158" s="46"/>
      <c r="H158" s="207"/>
      <c r="I158" s="182"/>
      <c r="J158" s="185">
        <v>4868.13</v>
      </c>
      <c r="K158" s="99"/>
      <c r="L158" s="105">
        <f t="shared" si="10"/>
        <v>6085.1625000000004</v>
      </c>
      <c r="M158" s="99"/>
      <c r="N158" s="99"/>
      <c r="O158" s="99"/>
      <c r="P158" s="99"/>
      <c r="Q158" s="105">
        <v>4868.13</v>
      </c>
      <c r="R158" s="105">
        <f>Q158</f>
        <v>4868.13</v>
      </c>
    </row>
    <row r="159" spans="1:18" ht="12.75" customHeight="1">
      <c r="A159" s="40"/>
      <c r="B159" s="40"/>
      <c r="C159" s="162"/>
      <c r="D159" s="43"/>
      <c r="E159" s="157"/>
      <c r="F159" s="66"/>
      <c r="G159" s="46"/>
      <c r="H159" s="199"/>
      <c r="I159" s="182"/>
      <c r="J159" s="186"/>
      <c r="K159" s="99"/>
      <c r="L159" s="105">
        <f t="shared" si="10"/>
        <v>0</v>
      </c>
      <c r="M159" s="99"/>
      <c r="N159" s="99"/>
      <c r="O159" s="99"/>
      <c r="P159" s="99"/>
      <c r="Q159" s="99"/>
      <c r="R159" s="99"/>
    </row>
    <row r="160" spans="1:18" ht="12.75" customHeight="1">
      <c r="A160" s="44">
        <v>4.4000000000000004</v>
      </c>
      <c r="B160" s="154" t="s">
        <v>270</v>
      </c>
      <c r="C160" s="161" t="s">
        <v>274</v>
      </c>
      <c r="D160" s="156"/>
      <c r="E160" s="157"/>
      <c r="F160" s="159"/>
      <c r="G160" s="46"/>
      <c r="H160" s="208"/>
      <c r="I160" s="182"/>
      <c r="J160" s="186"/>
      <c r="K160" s="99"/>
      <c r="L160" s="105">
        <f t="shared" si="10"/>
        <v>0</v>
      </c>
      <c r="M160" s="99"/>
      <c r="N160" s="99"/>
      <c r="O160" s="99"/>
      <c r="P160" s="99"/>
      <c r="Q160" s="99"/>
      <c r="R160" s="99"/>
    </row>
    <row r="161" spans="1:18" ht="12.75" customHeight="1">
      <c r="A161" s="156"/>
      <c r="B161" s="156"/>
      <c r="C161" s="162"/>
      <c r="D161" s="156"/>
      <c r="E161" s="157"/>
      <c r="F161" s="159"/>
      <c r="G161" s="46"/>
      <c r="H161" s="208"/>
      <c r="I161" s="182"/>
      <c r="J161" s="186"/>
      <c r="K161" s="99"/>
      <c r="L161" s="105">
        <f t="shared" si="10"/>
        <v>0</v>
      </c>
      <c r="M161" s="99"/>
      <c r="N161" s="99"/>
      <c r="O161" s="99"/>
      <c r="P161" s="99"/>
      <c r="Q161" s="99"/>
      <c r="R161" s="99"/>
    </row>
    <row r="162" spans="1:18" ht="12.75" customHeight="1">
      <c r="A162" s="40"/>
      <c r="B162" s="40"/>
      <c r="C162" s="209" t="s">
        <v>275</v>
      </c>
      <c r="D162" s="156"/>
      <c r="E162" s="157"/>
      <c r="F162" s="66"/>
      <c r="G162" s="46"/>
      <c r="H162" s="208"/>
      <c r="I162" s="182"/>
      <c r="J162" s="186"/>
      <c r="K162" s="99"/>
      <c r="L162" s="105">
        <f t="shared" si="10"/>
        <v>0</v>
      </c>
      <c r="M162" s="99"/>
      <c r="N162" s="99"/>
      <c r="O162" s="99"/>
      <c r="P162" s="99"/>
      <c r="Q162" s="99"/>
      <c r="R162" s="99"/>
    </row>
    <row r="163" spans="1:18" ht="12.75" customHeight="1">
      <c r="A163" s="40"/>
      <c r="B163" s="40"/>
      <c r="C163" s="45" t="s">
        <v>276</v>
      </c>
      <c r="D163" s="156"/>
      <c r="E163" s="157"/>
      <c r="F163" s="66"/>
      <c r="G163" s="46"/>
      <c r="H163" s="208"/>
      <c r="I163" s="182"/>
      <c r="J163" s="186"/>
      <c r="K163" s="99"/>
      <c r="L163" s="105">
        <f t="shared" si="10"/>
        <v>0</v>
      </c>
      <c r="M163" s="99"/>
      <c r="N163" s="99"/>
      <c r="O163" s="99"/>
      <c r="P163" s="99"/>
      <c r="Q163" s="99"/>
      <c r="R163" s="99"/>
    </row>
    <row r="164" spans="1:18" ht="12.75" customHeight="1">
      <c r="A164" s="40"/>
      <c r="B164" s="40"/>
      <c r="C164" s="43"/>
      <c r="D164" s="156"/>
      <c r="E164" s="157"/>
      <c r="F164" s="66"/>
      <c r="G164" s="46"/>
      <c r="H164" s="208"/>
      <c r="I164" s="182"/>
      <c r="J164" s="186"/>
      <c r="K164" s="99"/>
      <c r="L164" s="105">
        <f t="shared" si="10"/>
        <v>0</v>
      </c>
      <c r="M164" s="99"/>
      <c r="N164" s="99"/>
      <c r="O164" s="99"/>
      <c r="P164" s="99"/>
      <c r="Q164" s="99"/>
      <c r="R164" s="99"/>
    </row>
    <row r="165" spans="1:18" ht="12.75" customHeight="1">
      <c r="A165" s="40"/>
      <c r="B165" s="156"/>
      <c r="C165" s="163" t="s">
        <v>235</v>
      </c>
      <c r="D165" s="154" t="s">
        <v>41</v>
      </c>
      <c r="E165" s="157">
        <v>4</v>
      </c>
      <c r="F165" s="159"/>
      <c r="G165" s="46"/>
      <c r="H165" s="207"/>
      <c r="I165" s="210"/>
      <c r="J165" s="185">
        <v>4138.22</v>
      </c>
      <c r="K165" s="211"/>
      <c r="L165" s="105">
        <f t="shared" si="10"/>
        <v>5172.7750000000005</v>
      </c>
      <c r="M165" s="211"/>
      <c r="N165" s="211"/>
      <c r="O165" s="211"/>
      <c r="P165" s="211"/>
      <c r="Q165" s="105">
        <v>4161.37</v>
      </c>
      <c r="R165" s="105">
        <f>Q165</f>
        <v>4161.37</v>
      </c>
    </row>
    <row r="166" spans="1:18" ht="12.75" customHeight="1">
      <c r="A166" s="40"/>
      <c r="B166" s="40"/>
      <c r="C166" s="162"/>
      <c r="D166" s="156"/>
      <c r="E166" s="157"/>
      <c r="F166" s="159"/>
      <c r="G166" s="46"/>
      <c r="H166" s="207"/>
      <c r="I166" s="210"/>
      <c r="J166" s="212"/>
      <c r="K166" s="211"/>
      <c r="L166" s="105">
        <f t="shared" si="10"/>
        <v>0</v>
      </c>
      <c r="M166" s="211"/>
      <c r="N166" s="211"/>
      <c r="O166" s="211"/>
      <c r="P166" s="211"/>
      <c r="Q166" s="99"/>
      <c r="R166" s="99"/>
    </row>
    <row r="167" spans="1:18" ht="12.75" customHeight="1">
      <c r="A167" s="40"/>
      <c r="B167" s="156"/>
      <c r="C167" s="163" t="s">
        <v>236</v>
      </c>
      <c r="D167" s="154" t="s">
        <v>41</v>
      </c>
      <c r="E167" s="157">
        <v>1</v>
      </c>
      <c r="F167" s="159"/>
      <c r="G167" s="46"/>
      <c r="H167" s="207"/>
      <c r="I167" s="210"/>
      <c r="J167" s="185">
        <v>4138.22</v>
      </c>
      <c r="K167" s="211"/>
      <c r="L167" s="105">
        <f t="shared" si="10"/>
        <v>5172.7750000000005</v>
      </c>
      <c r="M167" s="211"/>
      <c r="N167" s="211"/>
      <c r="O167" s="211"/>
      <c r="P167" s="211"/>
      <c r="Q167" s="105">
        <v>4161.37</v>
      </c>
      <c r="R167" s="105">
        <f>Q167</f>
        <v>4161.37</v>
      </c>
    </row>
    <row r="168" spans="1:18" ht="12.75" customHeight="1">
      <c r="A168" s="40"/>
      <c r="B168" s="156"/>
      <c r="C168" s="162"/>
      <c r="D168" s="156"/>
      <c r="E168" s="157"/>
      <c r="F168" s="159"/>
      <c r="G168" s="46"/>
      <c r="H168" s="207"/>
      <c r="I168" s="210"/>
      <c r="J168" s="212"/>
      <c r="K168" s="211"/>
      <c r="L168" s="105">
        <f t="shared" si="10"/>
        <v>0</v>
      </c>
      <c r="M168" s="211"/>
      <c r="N168" s="211"/>
      <c r="O168" s="211"/>
      <c r="P168" s="211"/>
      <c r="Q168" s="99"/>
      <c r="R168" s="99"/>
    </row>
    <row r="169" spans="1:18" ht="12.75" customHeight="1">
      <c r="A169" s="40"/>
      <c r="B169" s="156"/>
      <c r="C169" s="163" t="s">
        <v>237</v>
      </c>
      <c r="D169" s="154" t="s">
        <v>41</v>
      </c>
      <c r="E169" s="157">
        <v>1</v>
      </c>
      <c r="F169" s="159"/>
      <c r="G169" s="46"/>
      <c r="H169" s="204"/>
      <c r="I169" s="210"/>
      <c r="J169" s="185">
        <v>4927.0200000000004</v>
      </c>
      <c r="K169" s="211"/>
      <c r="L169" s="105">
        <f t="shared" si="10"/>
        <v>6158.7750000000005</v>
      </c>
      <c r="M169" s="211"/>
      <c r="N169" s="211"/>
      <c r="O169" s="211"/>
      <c r="P169" s="211"/>
      <c r="Q169" s="105">
        <v>4385.8999999999996</v>
      </c>
      <c r="R169" s="105">
        <f>Q169</f>
        <v>4385.8999999999996</v>
      </c>
    </row>
    <row r="170" spans="1:18" ht="12.75" customHeight="1">
      <c r="A170" s="40"/>
      <c r="B170" s="156"/>
      <c r="C170" s="162"/>
      <c r="D170" s="156"/>
      <c r="E170" s="157"/>
      <c r="F170" s="159"/>
      <c r="G170" s="46"/>
      <c r="H170" s="207"/>
      <c r="I170" s="210"/>
      <c r="J170" s="186"/>
      <c r="K170" s="211"/>
      <c r="L170" s="105">
        <f t="shared" si="10"/>
        <v>0</v>
      </c>
      <c r="M170" s="211"/>
      <c r="N170" s="211"/>
      <c r="O170" s="211"/>
      <c r="P170" s="211"/>
      <c r="Q170" s="99"/>
      <c r="R170" s="99"/>
    </row>
    <row r="171" spans="1:18" ht="12.75" customHeight="1">
      <c r="A171" s="40"/>
      <c r="B171" s="156"/>
      <c r="C171" s="163" t="s">
        <v>238</v>
      </c>
      <c r="D171" s="154" t="s">
        <v>41</v>
      </c>
      <c r="E171" s="157">
        <v>6</v>
      </c>
      <c r="F171" s="159"/>
      <c r="G171" s="46"/>
      <c r="H171" s="207"/>
      <c r="I171" s="210"/>
      <c r="J171" s="185">
        <v>4927.0200000000004</v>
      </c>
      <c r="K171" s="211"/>
      <c r="L171" s="105">
        <f t="shared" si="10"/>
        <v>6158.7750000000005</v>
      </c>
      <c r="M171" s="211"/>
      <c r="N171" s="211"/>
      <c r="O171" s="211"/>
      <c r="P171" s="211"/>
      <c r="Q171" s="105">
        <v>4817.9399999999996</v>
      </c>
      <c r="R171" s="105">
        <f>Q171</f>
        <v>4817.9399999999996</v>
      </c>
    </row>
    <row r="172" spans="1:18" ht="12.75" customHeight="1">
      <c r="A172" s="40"/>
      <c r="B172" s="156"/>
      <c r="C172" s="162"/>
      <c r="D172" s="156"/>
      <c r="E172" s="157"/>
      <c r="F172" s="66"/>
      <c r="G172" s="46"/>
      <c r="H172" s="208"/>
      <c r="I172" s="182"/>
      <c r="J172" s="186"/>
      <c r="K172" s="99"/>
      <c r="L172" s="99"/>
      <c r="M172" s="99"/>
      <c r="N172" s="99"/>
      <c r="O172" s="99"/>
      <c r="P172" s="99"/>
      <c r="Q172" s="99"/>
      <c r="R172" s="99"/>
    </row>
    <row r="173" spans="1:18" ht="12.75" customHeight="1">
      <c r="A173" s="153">
        <v>4.5</v>
      </c>
      <c r="B173" s="154" t="s">
        <v>277</v>
      </c>
      <c r="C173" s="161" t="s">
        <v>278</v>
      </c>
      <c r="D173" s="156"/>
      <c r="E173" s="156"/>
      <c r="F173" s="159"/>
      <c r="G173" s="46"/>
      <c r="H173" s="199"/>
      <c r="I173" s="182"/>
      <c r="J173" s="186"/>
      <c r="K173" s="99"/>
      <c r="L173" s="99"/>
      <c r="M173" s="99"/>
      <c r="N173" s="99"/>
      <c r="O173" s="99"/>
      <c r="P173" s="99"/>
      <c r="Q173" s="99"/>
      <c r="R173" s="99"/>
    </row>
    <row r="174" spans="1:18" ht="12.75" customHeight="1">
      <c r="A174" s="156"/>
      <c r="B174" s="156"/>
      <c r="C174" s="162"/>
      <c r="D174" s="162"/>
      <c r="E174" s="156"/>
      <c r="F174" s="158"/>
      <c r="G174" s="46"/>
      <c r="H174" s="199">
        <f>H173+1</f>
        <v>1</v>
      </c>
      <c r="I174" s="182"/>
      <c r="J174" s="186"/>
      <c r="K174" s="99"/>
      <c r="L174" s="99"/>
      <c r="M174" s="99"/>
      <c r="N174" s="99"/>
      <c r="O174" s="99"/>
      <c r="P174" s="99"/>
      <c r="Q174" s="99"/>
      <c r="R174" s="99"/>
    </row>
    <row r="175" spans="1:18" ht="12.75" customHeight="1">
      <c r="A175" s="156"/>
      <c r="B175" s="156"/>
      <c r="C175" s="163" t="s">
        <v>279</v>
      </c>
      <c r="D175" s="162"/>
      <c r="E175" s="156"/>
      <c r="F175" s="158"/>
      <c r="G175" s="46"/>
      <c r="H175" s="199">
        <f>H174+1</f>
        <v>2</v>
      </c>
      <c r="I175" s="182"/>
      <c r="J175" s="186"/>
      <c r="K175" s="99"/>
      <c r="L175" s="99"/>
      <c r="M175" s="99"/>
      <c r="N175" s="99"/>
      <c r="O175" s="99"/>
      <c r="P175" s="99"/>
      <c r="Q175" s="99"/>
      <c r="R175" s="99"/>
    </row>
    <row r="176" spans="1:18" ht="12.75" customHeight="1">
      <c r="A176" s="156"/>
      <c r="B176" s="156"/>
      <c r="C176" s="163" t="s">
        <v>280</v>
      </c>
      <c r="D176" s="154" t="s">
        <v>212</v>
      </c>
      <c r="E176" s="157">
        <v>19</v>
      </c>
      <c r="F176" s="159"/>
      <c r="G176" s="46"/>
      <c r="H176" s="207"/>
      <c r="I176" s="210"/>
      <c r="J176" s="212"/>
      <c r="K176" s="211"/>
      <c r="L176" s="211"/>
      <c r="M176" s="211"/>
      <c r="N176" s="211"/>
      <c r="O176" s="211"/>
      <c r="P176" s="211"/>
      <c r="Q176" s="99"/>
      <c r="R176" s="99"/>
    </row>
    <row r="177" spans="1:18" ht="12.75" customHeight="1">
      <c r="A177" s="156"/>
      <c r="B177" s="156"/>
      <c r="C177" s="162"/>
      <c r="D177" s="43"/>
      <c r="E177" s="43"/>
      <c r="F177" s="43"/>
      <c r="G177" s="43"/>
      <c r="H177" s="180">
        <f>H176+1</f>
        <v>1</v>
      </c>
      <c r="I177" s="182"/>
      <c r="J177" s="186"/>
      <c r="K177" s="99"/>
      <c r="L177" s="99"/>
      <c r="M177" s="99"/>
      <c r="N177" s="99"/>
      <c r="O177" s="99"/>
      <c r="P177" s="99"/>
      <c r="Q177" s="99"/>
      <c r="R177" s="99"/>
    </row>
    <row r="178" spans="1:18" ht="12.75" customHeight="1">
      <c r="A178" s="40"/>
      <c r="B178" s="156"/>
      <c r="C178" s="45" t="s">
        <v>281</v>
      </c>
      <c r="D178" s="41" t="s">
        <v>202</v>
      </c>
      <c r="E178" s="165">
        <v>165</v>
      </c>
      <c r="F178" s="159"/>
      <c r="G178" s="46"/>
      <c r="H178" s="207"/>
      <c r="I178" s="210"/>
      <c r="J178" s="212"/>
      <c r="K178" s="211"/>
      <c r="L178" s="211"/>
      <c r="M178" s="211"/>
      <c r="N178" s="211"/>
      <c r="O178" s="211"/>
      <c r="P178" s="211"/>
      <c r="Q178" s="99"/>
      <c r="R178" s="99"/>
    </row>
    <row r="179" spans="1:18" ht="12.75" customHeight="1">
      <c r="A179" s="40"/>
      <c r="B179" s="40"/>
      <c r="C179" s="162"/>
      <c r="D179" s="40"/>
      <c r="E179" s="40"/>
      <c r="F179" s="66"/>
      <c r="G179" s="46"/>
      <c r="H179" s="180">
        <f>H178+1</f>
        <v>1</v>
      </c>
      <c r="I179" s="182"/>
      <c r="J179" s="186"/>
      <c r="K179" s="99"/>
      <c r="L179" s="99"/>
      <c r="M179" s="99"/>
      <c r="N179" s="99"/>
      <c r="O179" s="99"/>
      <c r="P179" s="99"/>
      <c r="Q179" s="99"/>
      <c r="R179" s="99"/>
    </row>
    <row r="180" spans="1:18" ht="12.75" customHeight="1">
      <c r="A180" s="153">
        <v>4.5999999999999996</v>
      </c>
      <c r="B180" s="156"/>
      <c r="C180" s="161" t="s">
        <v>282</v>
      </c>
      <c r="D180" s="162"/>
      <c r="E180" s="156"/>
      <c r="F180" s="158"/>
      <c r="G180" s="158"/>
      <c r="H180" s="199"/>
      <c r="I180" s="182"/>
      <c r="J180" s="186"/>
      <c r="K180" s="99"/>
      <c r="L180" s="99"/>
      <c r="M180" s="99"/>
      <c r="N180" s="99"/>
      <c r="O180" s="99"/>
      <c r="P180" s="99"/>
      <c r="Q180" s="99"/>
      <c r="R180" s="99"/>
    </row>
    <row r="181" spans="1:18" ht="12.75" customHeight="1">
      <c r="A181" s="156"/>
      <c r="B181" s="156"/>
      <c r="C181" s="162"/>
      <c r="D181" s="162"/>
      <c r="E181" s="156"/>
      <c r="F181" s="158"/>
      <c r="G181" s="46"/>
      <c r="H181" s="199">
        <f>H180+1</f>
        <v>1</v>
      </c>
      <c r="I181" s="182"/>
      <c r="J181" s="186"/>
      <c r="K181" s="99"/>
      <c r="L181" s="99"/>
      <c r="M181" s="99"/>
      <c r="N181" s="99"/>
      <c r="O181" s="99"/>
      <c r="P181" s="99"/>
      <c r="Q181" s="99"/>
      <c r="R181" s="99"/>
    </row>
    <row r="182" spans="1:18" ht="12.75" customHeight="1">
      <c r="A182" s="154" t="s">
        <v>283</v>
      </c>
      <c r="B182" s="154" t="s">
        <v>284</v>
      </c>
      <c r="C182" s="163" t="s">
        <v>285</v>
      </c>
      <c r="D182" s="162"/>
      <c r="E182" s="156"/>
      <c r="F182" s="158"/>
      <c r="G182" s="46"/>
      <c r="H182" s="199">
        <f>H181+1</f>
        <v>2</v>
      </c>
      <c r="I182" s="182"/>
      <c r="J182" s="186"/>
      <c r="K182" s="99"/>
      <c r="L182" s="99"/>
      <c r="M182" s="99"/>
      <c r="N182" s="99"/>
      <c r="O182" s="99"/>
      <c r="P182" s="99"/>
      <c r="Q182" s="99"/>
      <c r="R182" s="99"/>
    </row>
    <row r="183" spans="1:18" ht="12.75" customHeight="1">
      <c r="A183" s="156"/>
      <c r="B183" s="156"/>
      <c r="C183" s="163" t="s">
        <v>286</v>
      </c>
      <c r="D183" s="154" t="s">
        <v>202</v>
      </c>
      <c r="E183" s="171">
        <v>18</v>
      </c>
      <c r="F183" s="159"/>
      <c r="G183" s="46"/>
      <c r="H183" s="207"/>
      <c r="I183" s="210"/>
      <c r="J183" s="212"/>
      <c r="K183" s="211"/>
      <c r="L183" s="211"/>
      <c r="M183" s="211"/>
      <c r="N183" s="211"/>
      <c r="O183" s="211"/>
      <c r="P183" s="211"/>
      <c r="Q183" s="99"/>
      <c r="R183" s="99"/>
    </row>
    <row r="184" spans="1:18" ht="12.75" customHeight="1">
      <c r="A184" s="156"/>
      <c r="B184" s="156"/>
      <c r="C184" s="162"/>
      <c r="D184" s="162"/>
      <c r="E184" s="156"/>
      <c r="F184" s="158"/>
      <c r="G184" s="46"/>
      <c r="H184" s="180">
        <f>H183+1</f>
        <v>1</v>
      </c>
      <c r="I184" s="182"/>
      <c r="J184" s="186"/>
      <c r="K184" s="99"/>
      <c r="L184" s="99"/>
      <c r="M184" s="99"/>
      <c r="N184" s="99"/>
      <c r="O184" s="99"/>
      <c r="P184" s="99"/>
      <c r="Q184" s="99"/>
      <c r="R184" s="99"/>
    </row>
    <row r="185" spans="1:18" ht="12.75" customHeight="1">
      <c r="A185" s="44">
        <v>4.7</v>
      </c>
      <c r="B185" s="156"/>
      <c r="C185" s="163" t="s">
        <v>287</v>
      </c>
      <c r="D185" s="162"/>
      <c r="E185" s="162"/>
      <c r="F185" s="156"/>
      <c r="G185" s="46"/>
      <c r="H185" s="199"/>
      <c r="I185" s="182"/>
      <c r="J185" s="186"/>
      <c r="K185" s="99"/>
      <c r="L185" s="99"/>
      <c r="M185" s="99"/>
      <c r="N185" s="99"/>
      <c r="O185" s="99"/>
      <c r="P185" s="99"/>
      <c r="Q185" s="99"/>
      <c r="R185" s="99"/>
    </row>
    <row r="186" spans="1:18" ht="12.75" customHeight="1">
      <c r="A186" s="40"/>
      <c r="B186" s="156"/>
      <c r="C186" s="163" t="s">
        <v>288</v>
      </c>
      <c r="D186" s="156"/>
      <c r="E186" s="73"/>
      <c r="F186" s="162"/>
      <c r="G186" s="46"/>
      <c r="H186" s="199">
        <f>H185+1</f>
        <v>1</v>
      </c>
      <c r="I186" s="182"/>
      <c r="J186" s="186"/>
      <c r="K186" s="99"/>
      <c r="L186" s="99"/>
      <c r="M186" s="99"/>
      <c r="N186" s="99"/>
      <c r="O186" s="99"/>
      <c r="P186" s="99"/>
      <c r="Q186" s="99"/>
      <c r="R186" s="99"/>
    </row>
    <row r="187" spans="1:18" ht="12.75" customHeight="1">
      <c r="A187" s="40"/>
      <c r="B187" s="156"/>
      <c r="C187" s="163" t="s">
        <v>286</v>
      </c>
      <c r="D187" s="154" t="s">
        <v>41</v>
      </c>
      <c r="E187" s="73">
        <v>8</v>
      </c>
      <c r="F187" s="159"/>
      <c r="G187" s="46"/>
      <c r="H187" s="207"/>
      <c r="I187" s="210"/>
      <c r="J187" s="212"/>
      <c r="K187" s="211"/>
      <c r="L187" s="211"/>
      <c r="M187" s="211"/>
      <c r="N187" s="211"/>
      <c r="O187" s="211"/>
      <c r="P187" s="211"/>
      <c r="Q187" s="99"/>
      <c r="R187" s="99"/>
    </row>
    <row r="188" spans="1:18" ht="12.75" customHeight="1">
      <c r="A188" s="40"/>
      <c r="B188" s="156"/>
      <c r="C188" s="163"/>
      <c r="D188" s="154"/>
      <c r="E188" s="73"/>
      <c r="F188" s="159"/>
      <c r="G188" s="46"/>
      <c r="H188" s="207"/>
      <c r="I188" s="210"/>
      <c r="J188" s="212"/>
      <c r="K188" s="211"/>
      <c r="L188" s="211"/>
      <c r="M188" s="211"/>
      <c r="N188" s="211"/>
      <c r="O188" s="211"/>
      <c r="P188" s="211"/>
      <c r="Q188" s="99"/>
      <c r="R188" s="99"/>
    </row>
    <row r="189" spans="1:18" ht="12.75" customHeight="1">
      <c r="A189" s="58"/>
      <c r="B189" s="193"/>
      <c r="C189" s="194"/>
      <c r="D189" s="193"/>
      <c r="E189" s="193"/>
      <c r="F189" s="213"/>
      <c r="G189" s="213"/>
      <c r="H189" s="164"/>
      <c r="I189" s="182"/>
      <c r="J189" s="186"/>
      <c r="K189" s="99"/>
      <c r="L189" s="99"/>
      <c r="M189" s="99"/>
      <c r="N189" s="99"/>
      <c r="O189" s="99"/>
      <c r="P189" s="99"/>
      <c r="Q189" s="99"/>
      <c r="R189" s="99"/>
    </row>
    <row r="190" spans="1:18" ht="24" customHeight="1">
      <c r="A190" s="464" t="s">
        <v>16</v>
      </c>
      <c r="B190" s="465"/>
      <c r="C190" s="465"/>
      <c r="D190" s="465"/>
      <c r="E190" s="465"/>
      <c r="F190" s="465"/>
      <c r="G190" s="177">
        <f>SUM(G140:G189)</f>
        <v>0</v>
      </c>
      <c r="H190" s="179" t="s">
        <v>159</v>
      </c>
      <c r="I190" s="182"/>
      <c r="J190" s="214"/>
      <c r="K190" s="181"/>
      <c r="L190" s="181"/>
      <c r="M190" s="99"/>
      <c r="N190" s="99"/>
      <c r="O190" s="99"/>
      <c r="P190" s="99"/>
      <c r="Q190" s="99"/>
      <c r="R190" s="99"/>
    </row>
  </sheetData>
  <mergeCells count="7">
    <mergeCell ref="A190:F190"/>
    <mergeCell ref="A69:F69"/>
    <mergeCell ref="F6:G6"/>
    <mergeCell ref="A1:B2"/>
    <mergeCell ref="A140:F140"/>
    <mergeCell ref="A139:F139"/>
    <mergeCell ref="A70:F70"/>
  </mergeCells>
  <pageMargins left="0.748031" right="0.748031" top="0.98425200000000002" bottom="0.98425200000000002" header="0.51181100000000002" footer="0.51181100000000002"/>
  <pageSetup scale="71" orientation="portrait" r:id="rId1"/>
  <headerFooter>
    <oddFooter>&amp;R&amp;"Helvetica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6"/>
  <sheetViews>
    <sheetView showGridLines="0" view="pageLayout" zoomScaleNormal="100" workbookViewId="0">
      <selection activeCell="A18" sqref="A18:B18"/>
    </sheetView>
  </sheetViews>
  <sheetFormatPr defaultColWidth="12.453125" defaultRowHeight="12.75" customHeight="1"/>
  <cols>
    <col min="1" max="1" width="20.81640625" style="215" customWidth="1"/>
    <col min="2" max="2" width="44.81640625" style="215" customWidth="1"/>
    <col min="3" max="3" width="34.7265625" style="215" customWidth="1"/>
    <col min="4" max="16" width="12.453125" style="215" hidden="1" customWidth="1"/>
    <col min="17" max="17" width="12.453125" style="215" customWidth="1"/>
    <col min="18" max="16384" width="12.453125" style="215"/>
  </cols>
  <sheetData>
    <row r="1" spans="1:16" ht="16" customHeight="1">
      <c r="A1" s="462" t="s">
        <v>289</v>
      </c>
      <c r="B1" s="23"/>
      <c r="C1" s="98">
        <f ca="1">'Sched4 Wat Pipeworks'!G1</f>
        <v>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6" customHeight="1">
      <c r="A2" s="452"/>
      <c r="B2" s="23"/>
      <c r="C2" s="24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6" customHeight="1">
      <c r="A3" s="21"/>
      <c r="B3" s="23"/>
      <c r="C3" s="26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6" customHeight="1">
      <c r="A4" s="21"/>
      <c r="B4" s="23"/>
      <c r="C4" s="110" t="s">
        <v>290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6" customHeight="1">
      <c r="A5" s="21"/>
      <c r="B5" s="23"/>
      <c r="C5" s="27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6" ht="16" customHeight="1">
      <c r="A6" s="30"/>
      <c r="B6" s="216"/>
      <c r="C6" s="217"/>
      <c r="D6" s="218" t="s">
        <v>291</v>
      </c>
      <c r="E6" s="218" t="s">
        <v>292</v>
      </c>
      <c r="F6" s="218" t="s">
        <v>293</v>
      </c>
      <c r="G6" s="218" t="s">
        <v>294</v>
      </c>
      <c r="H6" s="218" t="s">
        <v>295</v>
      </c>
      <c r="I6" s="218" t="s">
        <v>296</v>
      </c>
      <c r="J6" s="218" t="s">
        <v>297</v>
      </c>
      <c r="K6" s="218" t="s">
        <v>298</v>
      </c>
      <c r="L6" s="218" t="s">
        <v>299</v>
      </c>
      <c r="M6" s="218" t="s">
        <v>300</v>
      </c>
      <c r="N6" s="218" t="s">
        <v>301</v>
      </c>
      <c r="O6" s="218" t="s">
        <v>302</v>
      </c>
      <c r="P6" s="218" t="s">
        <v>303</v>
      </c>
    </row>
    <row r="7" spans="1:16" ht="40" customHeight="1">
      <c r="A7" s="197" t="s">
        <v>304</v>
      </c>
      <c r="B7" s="219" t="s">
        <v>305</v>
      </c>
      <c r="C7" s="220" t="s">
        <v>306</v>
      </c>
      <c r="D7" s="221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</row>
    <row r="8" spans="1:16" ht="40" customHeight="1">
      <c r="A8" s="223" t="s">
        <v>307</v>
      </c>
      <c r="B8" s="224" t="s">
        <v>308</v>
      </c>
      <c r="C8" s="225">
        <f>'Sched2 Site Clearance'!G484</f>
        <v>0</v>
      </c>
      <c r="D8" s="226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</row>
    <row r="9" spans="1:16" ht="40" customHeight="1">
      <c r="A9" s="223" t="s">
        <v>175</v>
      </c>
      <c r="B9" s="224" t="s">
        <v>166</v>
      </c>
      <c r="C9" s="225">
        <f>'Sched3 Wat Earthworks'!G68</f>
        <v>0</v>
      </c>
      <c r="D9" s="226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</row>
    <row r="10" spans="1:16" ht="40" customHeight="1">
      <c r="A10" s="223" t="s">
        <v>190</v>
      </c>
      <c r="B10" s="224" t="str">
        <f>'Sched4 Wat Pipeworks'!C11</f>
        <v>WATER SUPPLY - PIPEWORKS</v>
      </c>
      <c r="C10" s="225" t="e">
        <f>'Sched4 Wat Pipeworks'!#REF!</f>
        <v>#REF!</v>
      </c>
      <c r="D10" s="228">
        <v>252503.95392</v>
      </c>
      <c r="E10" s="229">
        <v>423243.24089385901</v>
      </c>
      <c r="F10" s="229">
        <v>814227.26851764403</v>
      </c>
      <c r="G10" s="229">
        <v>765606.79782071302</v>
      </c>
      <c r="H10" s="229">
        <v>1052992.3316480001</v>
      </c>
      <c r="I10" s="229">
        <v>782738.04400640004</v>
      </c>
      <c r="J10" s="229">
        <v>1075616.7763883099</v>
      </c>
      <c r="K10" s="229">
        <v>1140958.6445728701</v>
      </c>
      <c r="L10" s="229">
        <v>911349.10835653904</v>
      </c>
      <c r="M10" s="229">
        <v>589192.37617488799</v>
      </c>
      <c r="N10" s="229">
        <v>1215565.6006289499</v>
      </c>
      <c r="O10" s="229">
        <v>1052553.30733636</v>
      </c>
      <c r="P10" s="229">
        <v>1206636.26575932</v>
      </c>
    </row>
    <row r="11" spans="1:16" ht="40" customHeight="1">
      <c r="A11" s="223" t="s">
        <v>224</v>
      </c>
      <c r="B11" s="224">
        <f>Summary!C11</f>
        <v>0</v>
      </c>
      <c r="C11" s="225">
        <f>Summary!G227</f>
        <v>0</v>
      </c>
      <c r="D11" s="230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</row>
    <row r="12" spans="1:16" ht="40" customHeight="1">
      <c r="A12" s="224"/>
      <c r="B12" s="224"/>
      <c r="C12" s="225"/>
      <c r="D12" s="23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s="446" customFormat="1" ht="40" customHeight="1">
      <c r="A13" s="491"/>
      <c r="B13" s="492"/>
      <c r="C13" s="225"/>
      <c r="D13" s="23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s="446" customFormat="1" ht="40" customHeight="1">
      <c r="A14" s="491"/>
      <c r="B14" s="492"/>
      <c r="C14" s="225"/>
      <c r="D14" s="23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s="446" customFormat="1" ht="40" customHeight="1">
      <c r="A15" s="491"/>
      <c r="B15" s="492"/>
      <c r="C15" s="225"/>
      <c r="D15" s="232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s="446" customFormat="1" ht="40" customHeight="1">
      <c r="A16" s="491"/>
      <c r="B16" s="492"/>
      <c r="C16" s="225"/>
      <c r="D16" s="232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40.15" customHeight="1">
      <c r="A17" s="467"/>
      <c r="B17" s="468"/>
      <c r="C17" s="233"/>
      <c r="D17" s="16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ht="40.15" customHeight="1">
      <c r="A18" s="467"/>
      <c r="B18" s="468"/>
      <c r="C18" s="233"/>
      <c r="D18" s="164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1:16" ht="40.15" customHeight="1">
      <c r="A19" s="467"/>
      <c r="B19" s="468"/>
      <c r="C19" s="233"/>
      <c r="D19" s="164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</row>
    <row r="20" spans="1:16" ht="40.15" customHeight="1">
      <c r="A20" s="471"/>
      <c r="B20" s="472"/>
      <c r="C20" s="234"/>
      <c r="D20" s="164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</row>
    <row r="21" spans="1:16" ht="40.15" customHeight="1">
      <c r="A21" s="235" t="s">
        <v>309</v>
      </c>
      <c r="B21" s="236"/>
      <c r="C21" s="237" t="e">
        <f>C11+C10+C9+C8</f>
        <v>#REF!</v>
      </c>
      <c r="D21" s="164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16" ht="40.15" customHeight="1">
      <c r="A22" s="473" t="s">
        <v>310</v>
      </c>
      <c r="B22" s="474"/>
      <c r="C22" s="238" t="e">
        <f>C21*0.1</f>
        <v>#REF!</v>
      </c>
      <c r="D22" s="164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23" spans="1:16" ht="40.15" customHeight="1">
      <c r="A23" s="471" t="s">
        <v>311</v>
      </c>
      <c r="B23" s="472"/>
      <c r="C23" s="234" t="e">
        <f>C21+C22</f>
        <v>#REF!</v>
      </c>
      <c r="D23" s="164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</row>
    <row r="24" spans="1:16" ht="40.15" customHeight="1">
      <c r="A24" s="469" t="s">
        <v>312</v>
      </c>
      <c r="B24" s="470"/>
      <c r="C24" s="238" t="e">
        <f>C23*0.15</f>
        <v>#REF!</v>
      </c>
      <c r="D24" s="23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ht="40.15" customHeight="1">
      <c r="A25" s="467" t="s">
        <v>313</v>
      </c>
      <c r="B25" s="475"/>
      <c r="C25" s="233" t="e">
        <f>C23+C24</f>
        <v>#REF!</v>
      </c>
      <c r="D25" s="240" t="s">
        <v>314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</row>
    <row r="26" spans="1:16" ht="25" customHeight="1">
      <c r="A26" s="466"/>
      <c r="B26" s="466"/>
      <c r="C26" s="466"/>
      <c r="D26" s="24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</row>
  </sheetData>
  <mergeCells count="10">
    <mergeCell ref="A26:C26"/>
    <mergeCell ref="A18:B18"/>
    <mergeCell ref="A19:B19"/>
    <mergeCell ref="A17:B17"/>
    <mergeCell ref="A1:A2"/>
    <mergeCell ref="A24:B24"/>
    <mergeCell ref="A23:B23"/>
    <mergeCell ref="A22:B22"/>
    <mergeCell ref="A25:B25"/>
    <mergeCell ref="A20:B20"/>
  </mergeCells>
  <pageMargins left="0.748031" right="0.748031" top="0.98425200000000002" bottom="0.98425200000000002" header="0.51181100000000002" footer="0.51181100000000002"/>
  <pageSetup scale="75"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242" customWidth="1"/>
    <col min="2" max="2" width="9.7265625" style="242" customWidth="1"/>
    <col min="3" max="3" width="14.7265625" style="242" customWidth="1"/>
    <col min="4" max="5" width="12.7265625" style="242" customWidth="1"/>
    <col min="6" max="6" width="9.7265625" style="242" customWidth="1"/>
    <col min="7" max="7" width="11.7265625" style="242" customWidth="1"/>
    <col min="8" max="8" width="12.7265625" style="242" customWidth="1"/>
    <col min="9" max="9" width="12" style="242" customWidth="1"/>
    <col min="10" max="10" width="9.7265625" style="242" customWidth="1"/>
    <col min="11" max="11" width="25.453125" style="242" customWidth="1"/>
    <col min="12" max="12" width="9.7265625" style="242" customWidth="1"/>
    <col min="13" max="13" width="14.7265625" style="242" customWidth="1"/>
    <col min="14" max="14" width="25.453125" style="242" customWidth="1"/>
    <col min="15" max="15" width="9.7265625" style="242" customWidth="1"/>
    <col min="16" max="16" width="10.7265625" style="242" customWidth="1"/>
    <col min="17" max="17" width="25.453125" style="242" customWidth="1"/>
    <col min="18" max="18" width="9.7265625" style="242" customWidth="1"/>
    <col min="19" max="19" width="14.7265625" style="242" customWidth="1"/>
    <col min="20" max="20" width="25.453125" style="242" customWidth="1"/>
    <col min="21" max="21" width="9.7265625" style="242" customWidth="1"/>
    <col min="22" max="22" width="14.7265625" style="242" customWidth="1"/>
    <col min="23" max="23" width="25.453125" style="242" customWidth="1"/>
    <col min="24" max="24" width="9.7265625" style="242" customWidth="1"/>
    <col min="25" max="25" width="14.7265625" style="242" customWidth="1"/>
    <col min="26" max="26" width="25.453125" style="242" customWidth="1"/>
    <col min="27" max="27" width="9.7265625" style="242" customWidth="1"/>
    <col min="28" max="28" width="14.7265625" style="242" customWidth="1"/>
    <col min="29" max="29" width="9.7265625" style="242" customWidth="1"/>
    <col min="30" max="16384" width="9.7265625" style="242"/>
  </cols>
  <sheetData>
    <row r="1" spans="1:28" ht="18" customHeight="1">
      <c r="A1" s="478" t="s">
        <v>315</v>
      </c>
      <c r="B1" s="479"/>
      <c r="C1" s="480"/>
      <c r="D1" s="243"/>
      <c r="E1" s="244"/>
      <c r="F1" s="244"/>
      <c r="G1" s="244"/>
      <c r="H1" s="244"/>
      <c r="I1" s="244"/>
      <c r="J1" s="245"/>
      <c r="K1" s="478" t="s">
        <v>315</v>
      </c>
      <c r="L1" s="479"/>
      <c r="M1" s="480"/>
      <c r="N1" s="478" t="s">
        <v>315</v>
      </c>
      <c r="O1" s="479"/>
      <c r="P1" s="480"/>
      <c r="Q1" s="478" t="s">
        <v>315</v>
      </c>
      <c r="R1" s="479"/>
      <c r="S1" s="480"/>
      <c r="T1" s="478" t="s">
        <v>315</v>
      </c>
      <c r="U1" s="479"/>
      <c r="V1" s="480"/>
      <c r="W1" s="478" t="s">
        <v>315</v>
      </c>
      <c r="X1" s="479"/>
      <c r="Y1" s="480"/>
      <c r="Z1" s="478" t="s">
        <v>315</v>
      </c>
      <c r="AA1" s="479"/>
      <c r="AB1" s="480"/>
    </row>
    <row r="2" spans="1:28" ht="13.5" customHeight="1">
      <c r="A2" s="246">
        <v>110</v>
      </c>
      <c r="B2" s="247" t="s">
        <v>316</v>
      </c>
      <c r="C2" s="248"/>
      <c r="D2" s="243"/>
      <c r="E2" s="244"/>
      <c r="F2" s="244"/>
      <c r="G2" s="244"/>
      <c r="H2" s="244"/>
      <c r="I2" s="244"/>
      <c r="J2" s="245"/>
      <c r="K2" s="246">
        <v>160</v>
      </c>
      <c r="L2" s="247" t="s">
        <v>316</v>
      </c>
      <c r="M2" s="248"/>
      <c r="N2" s="246">
        <v>200</v>
      </c>
      <c r="O2" s="247" t="s">
        <v>317</v>
      </c>
      <c r="P2" s="248"/>
      <c r="Q2" s="246">
        <v>250</v>
      </c>
      <c r="R2" s="247" t="s">
        <v>316</v>
      </c>
      <c r="S2" s="248"/>
      <c r="T2" s="246">
        <v>315</v>
      </c>
      <c r="U2" s="247" t="s">
        <v>316</v>
      </c>
      <c r="V2" s="248"/>
      <c r="W2" s="246">
        <v>355</v>
      </c>
      <c r="X2" s="247" t="s">
        <v>316</v>
      </c>
      <c r="Y2" s="248"/>
      <c r="Z2" s="246">
        <v>400</v>
      </c>
      <c r="AA2" s="247" t="s">
        <v>316</v>
      </c>
      <c r="AB2" s="248"/>
    </row>
    <row r="3" spans="1:28" ht="12.75" customHeight="1">
      <c r="A3" s="249" t="s">
        <v>318</v>
      </c>
      <c r="B3" s="481" t="s">
        <v>319</v>
      </c>
      <c r="C3" s="482"/>
      <c r="D3" s="243"/>
      <c r="E3" s="244"/>
      <c r="F3" s="244"/>
      <c r="G3" s="244"/>
      <c r="H3" s="244"/>
      <c r="I3" s="244"/>
      <c r="J3" s="245"/>
      <c r="K3" s="249" t="s">
        <v>318</v>
      </c>
      <c r="L3" s="481" t="str">
        <f>$B$3</f>
        <v>ABC</v>
      </c>
      <c r="M3" s="482"/>
      <c r="N3" s="249" t="s">
        <v>318</v>
      </c>
      <c r="O3" s="481" t="str">
        <f>$B$3</f>
        <v>ABC</v>
      </c>
      <c r="P3" s="482"/>
      <c r="Q3" s="249" t="s">
        <v>318</v>
      </c>
      <c r="R3" s="481" t="str">
        <f>$B$3</f>
        <v>ABC</v>
      </c>
      <c r="S3" s="482"/>
      <c r="T3" s="249" t="s">
        <v>318</v>
      </c>
      <c r="U3" s="481" t="str">
        <f>$B$3</f>
        <v>ABC</v>
      </c>
      <c r="V3" s="482"/>
      <c r="W3" s="249" t="s">
        <v>318</v>
      </c>
      <c r="X3" s="481" t="str">
        <f>$B$3</f>
        <v>ABC</v>
      </c>
      <c r="Y3" s="482"/>
      <c r="Z3" s="249" t="s">
        <v>318</v>
      </c>
      <c r="AA3" s="481" t="str">
        <f>$B$3</f>
        <v>ABC</v>
      </c>
      <c r="AB3" s="482"/>
    </row>
    <row r="4" spans="1:28" ht="12.75" customHeight="1">
      <c r="A4" s="250" t="s">
        <v>320</v>
      </c>
      <c r="B4" s="476" t="s">
        <v>321</v>
      </c>
      <c r="C4" s="477"/>
      <c r="D4" s="243"/>
      <c r="E4" s="244"/>
      <c r="F4" s="244"/>
      <c r="G4" s="244"/>
      <c r="H4" s="244"/>
      <c r="I4" s="244"/>
      <c r="J4" s="245"/>
      <c r="K4" s="250" t="s">
        <v>320</v>
      </c>
      <c r="L4" s="476" t="str">
        <f>$B$4</f>
        <v>0000</v>
      </c>
      <c r="M4" s="477"/>
      <c r="N4" s="250" t="s">
        <v>320</v>
      </c>
      <c r="O4" s="476" t="str">
        <f>$B$4</f>
        <v>0000</v>
      </c>
      <c r="P4" s="477"/>
      <c r="Q4" s="250" t="s">
        <v>320</v>
      </c>
      <c r="R4" s="476" t="str">
        <f>$B$4</f>
        <v>0000</v>
      </c>
      <c r="S4" s="477"/>
      <c r="T4" s="250" t="s">
        <v>320</v>
      </c>
      <c r="U4" s="476" t="str">
        <f>$B$4</f>
        <v>0000</v>
      </c>
      <c r="V4" s="477"/>
      <c r="W4" s="250" t="s">
        <v>320</v>
      </c>
      <c r="X4" s="476" t="str">
        <f>$B$4</f>
        <v>0000</v>
      </c>
      <c r="Y4" s="477"/>
      <c r="Z4" s="250" t="s">
        <v>320</v>
      </c>
      <c r="AA4" s="476" t="str">
        <f>$B$4</f>
        <v>0000</v>
      </c>
      <c r="AB4" s="477"/>
    </row>
    <row r="5" spans="1:28" ht="12.75" customHeight="1">
      <c r="A5" s="251" t="s">
        <v>322</v>
      </c>
      <c r="B5" s="252">
        <f>A69/1000</f>
        <v>7.4999999999999997E-2</v>
      </c>
      <c r="C5" s="253" t="s">
        <v>179</v>
      </c>
      <c r="D5" s="254"/>
      <c r="E5" s="244"/>
      <c r="F5" s="244"/>
      <c r="G5" s="244"/>
      <c r="H5" s="244"/>
      <c r="I5" s="244"/>
      <c r="J5" s="245"/>
      <c r="K5" s="251" t="s">
        <v>322</v>
      </c>
      <c r="L5" s="255">
        <f>K2/1000</f>
        <v>0.16</v>
      </c>
      <c r="M5" s="253" t="s">
        <v>179</v>
      </c>
      <c r="N5" s="251" t="s">
        <v>322</v>
      </c>
      <c r="O5" s="255">
        <f>N2/1000</f>
        <v>0.2</v>
      </c>
      <c r="P5" s="253" t="s">
        <v>179</v>
      </c>
      <c r="Q5" s="251" t="s">
        <v>322</v>
      </c>
      <c r="R5" s="255">
        <f>Q2/1000</f>
        <v>0.25</v>
      </c>
      <c r="S5" s="253" t="s">
        <v>179</v>
      </c>
      <c r="T5" s="251" t="s">
        <v>322</v>
      </c>
      <c r="U5" s="255">
        <f>T2/1000</f>
        <v>0.315</v>
      </c>
      <c r="V5" s="253" t="s">
        <v>179</v>
      </c>
      <c r="W5" s="251" t="s">
        <v>322</v>
      </c>
      <c r="X5" s="255">
        <f>W2/1000</f>
        <v>0.35499999999999998</v>
      </c>
      <c r="Y5" s="253" t="s">
        <v>179</v>
      </c>
      <c r="Z5" s="251" t="s">
        <v>322</v>
      </c>
      <c r="AA5" s="255">
        <f>Z2/1000</f>
        <v>0.4</v>
      </c>
      <c r="AB5" s="253" t="s">
        <v>179</v>
      </c>
    </row>
    <row r="6" spans="1:28" ht="12.75" customHeight="1">
      <c r="A6" s="251" t="s">
        <v>323</v>
      </c>
      <c r="B6" s="252">
        <f>B5-0.0044</f>
        <v>7.0599999999999996E-2</v>
      </c>
      <c r="C6" s="253" t="s">
        <v>179</v>
      </c>
      <c r="D6" s="254"/>
      <c r="E6" s="244"/>
      <c r="F6" s="244"/>
      <c r="G6" s="244"/>
      <c r="H6" s="244"/>
      <c r="I6" s="244"/>
      <c r="J6" s="245"/>
      <c r="K6" s="251" t="s">
        <v>323</v>
      </c>
      <c r="L6" s="255">
        <f>L5-0.0064</f>
        <v>0.15360000000000001</v>
      </c>
      <c r="M6" s="253" t="s">
        <v>179</v>
      </c>
      <c r="N6" s="251" t="s">
        <v>323</v>
      </c>
      <c r="O6" s="255">
        <f>O5-0.0078</f>
        <v>0.19220000000000001</v>
      </c>
      <c r="P6" s="253" t="s">
        <v>179</v>
      </c>
      <c r="Q6" s="251" t="s">
        <v>323</v>
      </c>
      <c r="R6" s="255">
        <f>R5-0.01</f>
        <v>0.24</v>
      </c>
      <c r="S6" s="253" t="s">
        <v>179</v>
      </c>
      <c r="T6" s="251" t="s">
        <v>323</v>
      </c>
      <c r="U6" s="255">
        <f>U5-0.0124</f>
        <v>0.30259999999999998</v>
      </c>
      <c r="V6" s="253" t="s">
        <v>179</v>
      </c>
      <c r="W6" s="251" t="s">
        <v>323</v>
      </c>
      <c r="X6" s="255">
        <f>X5-0.014</f>
        <v>0.34099999999999997</v>
      </c>
      <c r="Y6" s="253" t="s">
        <v>179</v>
      </c>
      <c r="Z6" s="251" t="s">
        <v>323</v>
      </c>
      <c r="AA6" s="255">
        <f>AA5-0.0158</f>
        <v>0.38420000000000004</v>
      </c>
      <c r="AB6" s="253" t="s">
        <v>179</v>
      </c>
    </row>
    <row r="7" spans="1:28" ht="12.75" customHeight="1">
      <c r="A7" s="251" t="s">
        <v>324</v>
      </c>
      <c r="B7" s="256">
        <v>15</v>
      </c>
      <c r="C7" s="257" t="s">
        <v>100</v>
      </c>
      <c r="D7" s="254"/>
      <c r="E7" s="244"/>
      <c r="F7" s="244"/>
      <c r="G7" s="244"/>
      <c r="H7" s="244"/>
      <c r="I7" s="244"/>
      <c r="J7" s="245"/>
      <c r="K7" s="251" t="s">
        <v>324</v>
      </c>
      <c r="L7" s="256">
        <f>$B$7</f>
        <v>15</v>
      </c>
      <c r="M7" s="257" t="s">
        <v>100</v>
      </c>
      <c r="N7" s="251" t="s">
        <v>324</v>
      </c>
      <c r="O7" s="256">
        <f>$B$7</f>
        <v>15</v>
      </c>
      <c r="P7" s="257" t="s">
        <v>100</v>
      </c>
      <c r="Q7" s="251" t="s">
        <v>324</v>
      </c>
      <c r="R7" s="256">
        <f>$B$7</f>
        <v>15</v>
      </c>
      <c r="S7" s="257" t="s">
        <v>100</v>
      </c>
      <c r="T7" s="251" t="s">
        <v>324</v>
      </c>
      <c r="U7" s="256">
        <f>$B$7</f>
        <v>15</v>
      </c>
      <c r="V7" s="257" t="s">
        <v>100</v>
      </c>
      <c r="W7" s="251" t="s">
        <v>324</v>
      </c>
      <c r="X7" s="256">
        <f>$B$7</f>
        <v>15</v>
      </c>
      <c r="Y7" s="257" t="s">
        <v>100</v>
      </c>
      <c r="Z7" s="251" t="s">
        <v>324</v>
      </c>
      <c r="AA7" s="256">
        <f>$B$7</f>
        <v>15</v>
      </c>
      <c r="AB7" s="257" t="s">
        <v>100</v>
      </c>
    </row>
    <row r="8" spans="1:28" ht="12.75" customHeight="1">
      <c r="A8" s="251" t="s">
        <v>325</v>
      </c>
      <c r="B8" s="258">
        <f>IF(B5&lt;0.401,0.1,IF(B5&lt;0.801,B5/4,0.2))</f>
        <v>0.1</v>
      </c>
      <c r="C8" s="253" t="s">
        <v>179</v>
      </c>
      <c r="D8" s="254"/>
      <c r="E8" s="244"/>
      <c r="F8" s="244"/>
      <c r="G8" s="244"/>
      <c r="H8" s="244"/>
      <c r="I8" s="244"/>
      <c r="J8" s="245"/>
      <c r="K8" s="251" t="s">
        <v>325</v>
      </c>
      <c r="L8" s="258">
        <f>IF(L5&lt;0.401,0.1,IF(L5&lt;0.801,L5/4,0.2))</f>
        <v>0.1</v>
      </c>
      <c r="M8" s="253" t="s">
        <v>179</v>
      </c>
      <c r="N8" s="251" t="s">
        <v>325</v>
      </c>
      <c r="O8" s="258">
        <f>IF(O5&lt;0.401,0.1,IF(O5&lt;0.801,O5/4,0.2))</f>
        <v>0.1</v>
      </c>
      <c r="P8" s="253" t="s">
        <v>179</v>
      </c>
      <c r="Q8" s="251" t="s">
        <v>325</v>
      </c>
      <c r="R8" s="258">
        <f>IF(R5&lt;0.401,0.1,IF(R5&lt;0.801,R5/4,0.2))</f>
        <v>0.1</v>
      </c>
      <c r="S8" s="253" t="s">
        <v>179</v>
      </c>
      <c r="T8" s="251" t="s">
        <v>325</v>
      </c>
      <c r="U8" s="258">
        <f>IF(U5&lt;0.401,0.1,IF(U5&lt;0.801,U5/4,0.2))</f>
        <v>0.1</v>
      </c>
      <c r="V8" s="253" t="s">
        <v>179</v>
      </c>
      <c r="W8" s="251" t="s">
        <v>325</v>
      </c>
      <c r="X8" s="258">
        <f>IF(X5&lt;0.401,0.1,IF(X5&lt;0.801,X5/4,0.2))</f>
        <v>0.1</v>
      </c>
      <c r="Y8" s="253" t="s">
        <v>179</v>
      </c>
      <c r="Z8" s="251" t="s">
        <v>325</v>
      </c>
      <c r="AA8" s="258">
        <f>IF(AA5&lt;0.401,0.1,IF(AA5&lt;0.801,AA5/4,0.2))</f>
        <v>0.1</v>
      </c>
      <c r="AB8" s="253" t="s">
        <v>179</v>
      </c>
    </row>
    <row r="9" spans="1:28" ht="12.75" customHeight="1">
      <c r="A9" s="251" t="s">
        <v>326</v>
      </c>
      <c r="B9" s="258">
        <v>0.1</v>
      </c>
      <c r="C9" s="253" t="s">
        <v>179</v>
      </c>
      <c r="D9" s="254"/>
      <c r="E9" s="244"/>
      <c r="F9" s="244"/>
      <c r="G9" s="244"/>
      <c r="H9" s="244"/>
      <c r="I9" s="244"/>
      <c r="J9" s="245"/>
      <c r="K9" s="251" t="s">
        <v>326</v>
      </c>
      <c r="L9" s="258">
        <v>0.1</v>
      </c>
      <c r="M9" s="253" t="s">
        <v>179</v>
      </c>
      <c r="N9" s="251" t="s">
        <v>326</v>
      </c>
      <c r="O9" s="258">
        <v>0.1</v>
      </c>
      <c r="P9" s="253" t="s">
        <v>179</v>
      </c>
      <c r="Q9" s="251" t="s">
        <v>326</v>
      </c>
      <c r="R9" s="258">
        <v>0.1</v>
      </c>
      <c r="S9" s="253" t="s">
        <v>179</v>
      </c>
      <c r="T9" s="251" t="s">
        <v>326</v>
      </c>
      <c r="U9" s="258">
        <v>0.1</v>
      </c>
      <c r="V9" s="253" t="s">
        <v>179</v>
      </c>
      <c r="W9" s="251" t="s">
        <v>326</v>
      </c>
      <c r="X9" s="258">
        <v>0.1</v>
      </c>
      <c r="Y9" s="253" t="s">
        <v>179</v>
      </c>
      <c r="Z9" s="251" t="s">
        <v>326</v>
      </c>
      <c r="AA9" s="258">
        <v>0.1</v>
      </c>
      <c r="AB9" s="253" t="s">
        <v>179</v>
      </c>
    </row>
    <row r="10" spans="1:28" ht="12.75" customHeight="1">
      <c r="A10" s="251" t="s">
        <v>327</v>
      </c>
      <c r="B10" s="258">
        <f>B9+B8+B5</f>
        <v>0.27500000000000002</v>
      </c>
      <c r="C10" s="253" t="s">
        <v>179</v>
      </c>
      <c r="D10" s="254"/>
      <c r="E10" s="244"/>
      <c r="F10" s="244"/>
      <c r="G10" s="244"/>
      <c r="H10" s="244"/>
      <c r="I10" s="244"/>
      <c r="J10" s="245"/>
      <c r="K10" s="251" t="s">
        <v>327</v>
      </c>
      <c r="L10" s="258">
        <f>L9+L8+L5</f>
        <v>0.36</v>
      </c>
      <c r="M10" s="253" t="s">
        <v>179</v>
      </c>
      <c r="N10" s="251" t="s">
        <v>327</v>
      </c>
      <c r="O10" s="258">
        <f>O9+O8+O5</f>
        <v>0.4</v>
      </c>
      <c r="P10" s="253" t="s">
        <v>179</v>
      </c>
      <c r="Q10" s="251" t="s">
        <v>327</v>
      </c>
      <c r="R10" s="258">
        <f>R9+R8+R5</f>
        <v>0.45</v>
      </c>
      <c r="S10" s="253" t="s">
        <v>179</v>
      </c>
      <c r="T10" s="251" t="s">
        <v>327</v>
      </c>
      <c r="U10" s="258">
        <f>U9+U8+U5</f>
        <v>0.51500000000000001</v>
      </c>
      <c r="V10" s="253" t="s">
        <v>179</v>
      </c>
      <c r="W10" s="251" t="s">
        <v>327</v>
      </c>
      <c r="X10" s="258">
        <f>X9+X8+X5</f>
        <v>0.55499999999999994</v>
      </c>
      <c r="Y10" s="253" t="s">
        <v>179</v>
      </c>
      <c r="Z10" s="251" t="s">
        <v>327</v>
      </c>
      <c r="AA10" s="258">
        <f>AA9+AA8+AA5</f>
        <v>0.60000000000000009</v>
      </c>
      <c r="AB10" s="253" t="s">
        <v>179</v>
      </c>
    </row>
    <row r="11" spans="1:28" ht="12.75" customHeight="1">
      <c r="A11" s="251" t="s">
        <v>328</v>
      </c>
      <c r="B11" s="258">
        <v>0.2</v>
      </c>
      <c r="C11" s="253" t="s">
        <v>179</v>
      </c>
      <c r="D11" s="254"/>
      <c r="E11" s="244"/>
      <c r="F11" s="244"/>
      <c r="G11" s="244"/>
      <c r="H11" s="244"/>
      <c r="I11" s="244"/>
      <c r="J11" s="245"/>
      <c r="K11" s="251" t="s">
        <v>328</v>
      </c>
      <c r="L11" s="258">
        <v>0.2</v>
      </c>
      <c r="M11" s="253" t="s">
        <v>179</v>
      </c>
      <c r="N11" s="251" t="s">
        <v>328</v>
      </c>
      <c r="O11" s="258">
        <v>0.2</v>
      </c>
      <c r="P11" s="253" t="s">
        <v>179</v>
      </c>
      <c r="Q11" s="251" t="s">
        <v>328</v>
      </c>
      <c r="R11" s="258">
        <v>0.2</v>
      </c>
      <c r="S11" s="253" t="s">
        <v>179</v>
      </c>
      <c r="T11" s="251" t="s">
        <v>328</v>
      </c>
      <c r="U11" s="258">
        <v>0.2</v>
      </c>
      <c r="V11" s="253" t="s">
        <v>179</v>
      </c>
      <c r="W11" s="251" t="s">
        <v>328</v>
      </c>
      <c r="X11" s="258">
        <v>0.2</v>
      </c>
      <c r="Y11" s="253" t="s">
        <v>179</v>
      </c>
      <c r="Z11" s="251" t="s">
        <v>328</v>
      </c>
      <c r="AA11" s="258">
        <v>0.2</v>
      </c>
      <c r="AB11" s="253" t="s">
        <v>179</v>
      </c>
    </row>
    <row r="12" spans="1:28" ht="12.75" customHeight="1">
      <c r="A12" s="251" t="s">
        <v>329</v>
      </c>
      <c r="B12" s="258">
        <f>IF(B5&lt;0.701,B5+0.6,IF(B5&lt;1.001,B5+0.8,IF(B5&lt;2.001,B5+1,B5+1.2)))</f>
        <v>0.67499999999999993</v>
      </c>
      <c r="C12" s="253" t="s">
        <v>179</v>
      </c>
      <c r="D12" s="254"/>
      <c r="E12" s="244"/>
      <c r="F12" s="244"/>
      <c r="G12" s="244"/>
      <c r="H12" s="244"/>
      <c r="I12" s="244"/>
      <c r="J12" s="245"/>
      <c r="K12" s="251" t="s">
        <v>329</v>
      </c>
      <c r="L12" s="258">
        <f>IF(L5&lt;0.701,L5+0.6,IF(L5&lt;1.001,L5+0.8,IF(L5&lt;2.001,L5+1,L5+1.2)))</f>
        <v>0.76</v>
      </c>
      <c r="M12" s="253" t="s">
        <v>179</v>
      </c>
      <c r="N12" s="251" t="s">
        <v>329</v>
      </c>
      <c r="O12" s="258">
        <f>IF(O5&lt;0.701,O5+0.6,IF(O5&lt;1.001,O5+0.8,IF(O5&lt;2.001,O5+1,O5+1.2)))</f>
        <v>0.8</v>
      </c>
      <c r="P12" s="253" t="s">
        <v>179</v>
      </c>
      <c r="Q12" s="251" t="s">
        <v>329</v>
      </c>
      <c r="R12" s="258">
        <f>IF(R5&lt;0.701,R5+0.6,IF(R5&lt;1.001,R5+0.8,IF(R5&lt;2.001,R5+1,R5+1.2)))</f>
        <v>0.85</v>
      </c>
      <c r="S12" s="253" t="s">
        <v>179</v>
      </c>
      <c r="T12" s="251" t="s">
        <v>329</v>
      </c>
      <c r="U12" s="258">
        <f>IF(U5&lt;0.701,U5+0.6,IF(U5&lt;1.001,U5+0.8,IF(U5&lt;2.001,U5+1,U5+1.2)))</f>
        <v>0.91500000000000004</v>
      </c>
      <c r="V12" s="253" t="s">
        <v>179</v>
      </c>
      <c r="W12" s="251" t="s">
        <v>329</v>
      </c>
      <c r="X12" s="258">
        <f>IF(X5&lt;0.701,X5+0.6,IF(X5&lt;1.001,X5+0.8,IF(X5&lt;2.001,X5+1,X5+1.2)))</f>
        <v>0.95499999999999996</v>
      </c>
      <c r="Y12" s="253" t="s">
        <v>179</v>
      </c>
      <c r="Z12" s="251" t="s">
        <v>329</v>
      </c>
      <c r="AA12" s="258">
        <f>IF(AA5&lt;0.701,AA5+0.6,IF(AA5&lt;1.001,AA5+0.8,IF(AA5&lt;2.001,AA5+1,AA5+1.2)))</f>
        <v>1</v>
      </c>
      <c r="AB12" s="253" t="s">
        <v>179</v>
      </c>
    </row>
    <row r="13" spans="1:28" ht="12.75" customHeight="1">
      <c r="A13" s="251" t="s">
        <v>330</v>
      </c>
      <c r="B13" s="259">
        <f>B12*B11</f>
        <v>0.13499999999999998</v>
      </c>
      <c r="C13" s="253" t="s">
        <v>331</v>
      </c>
      <c r="D13" s="254"/>
      <c r="E13" s="244"/>
      <c r="F13" s="244"/>
      <c r="G13" s="244"/>
      <c r="H13" s="244"/>
      <c r="I13" s="244"/>
      <c r="J13" s="245"/>
      <c r="K13" s="251" t="s">
        <v>330</v>
      </c>
      <c r="L13" s="259">
        <f>L12*L11</f>
        <v>0.15200000000000002</v>
      </c>
      <c r="M13" s="253" t="s">
        <v>331</v>
      </c>
      <c r="N13" s="251" t="s">
        <v>330</v>
      </c>
      <c r="O13" s="259">
        <f>O12*O11</f>
        <v>0.16000000000000003</v>
      </c>
      <c r="P13" s="253" t="s">
        <v>331</v>
      </c>
      <c r="Q13" s="251" t="s">
        <v>330</v>
      </c>
      <c r="R13" s="259">
        <f>R12*R11</f>
        <v>0.17</v>
      </c>
      <c r="S13" s="253" t="s">
        <v>331</v>
      </c>
      <c r="T13" s="251" t="s">
        <v>330</v>
      </c>
      <c r="U13" s="259">
        <f>U12*U11</f>
        <v>0.18300000000000002</v>
      </c>
      <c r="V13" s="253" t="s">
        <v>331</v>
      </c>
      <c r="W13" s="251" t="s">
        <v>330</v>
      </c>
      <c r="X13" s="259">
        <f>X12*X11</f>
        <v>0.191</v>
      </c>
      <c r="Y13" s="253" t="s">
        <v>331</v>
      </c>
      <c r="Z13" s="251" t="s">
        <v>330</v>
      </c>
      <c r="AA13" s="259">
        <f>AA12*AA11</f>
        <v>0.2</v>
      </c>
      <c r="AB13" s="253" t="s">
        <v>331</v>
      </c>
    </row>
    <row r="14" spans="1:28" ht="13.5" customHeight="1">
      <c r="A14" s="260" t="s">
        <v>332</v>
      </c>
      <c r="B14" s="261">
        <f>B12*B10-(PI()*B5^2)/4</f>
        <v>0.18120713533088934</v>
      </c>
      <c r="C14" s="262" t="s">
        <v>331</v>
      </c>
      <c r="D14" s="254"/>
      <c r="E14" s="244"/>
      <c r="F14" s="244"/>
      <c r="G14" s="244"/>
      <c r="H14" s="244"/>
      <c r="I14" s="244"/>
      <c r="J14" s="245"/>
      <c r="K14" s="260" t="s">
        <v>332</v>
      </c>
      <c r="L14" s="261">
        <f>L12*L10-(PI()*L5^2)/4</f>
        <v>0.25349380701702534</v>
      </c>
      <c r="M14" s="262" t="s">
        <v>331</v>
      </c>
      <c r="N14" s="260" t="s">
        <v>332</v>
      </c>
      <c r="O14" s="261">
        <f>O12*O10-(PI()*O5^2)/4</f>
        <v>0.28858407346410214</v>
      </c>
      <c r="P14" s="262" t="s">
        <v>331</v>
      </c>
      <c r="Q14" s="260" t="s">
        <v>332</v>
      </c>
      <c r="R14" s="261">
        <f>R12*R10-(PI()*R5^2)/4</f>
        <v>0.33341261478765949</v>
      </c>
      <c r="S14" s="262" t="s">
        <v>331</v>
      </c>
      <c r="T14" s="260" t="s">
        <v>332</v>
      </c>
      <c r="U14" s="261">
        <f>U12*U10-(PI()*U5^2)/4</f>
        <v>0.39329386723688819</v>
      </c>
      <c r="V14" s="262" t="s">
        <v>331</v>
      </c>
      <c r="W14" s="260" t="s">
        <v>332</v>
      </c>
      <c r="X14" s="261">
        <f>X12*X10-(PI()*X5^2)/4</f>
        <v>0.43104519645783657</v>
      </c>
      <c r="Y14" s="262" t="s">
        <v>331</v>
      </c>
      <c r="Z14" s="260" t="s">
        <v>332</v>
      </c>
      <c r="AA14" s="261">
        <f>AA12*AA10-(PI()*AA5^2)/4</f>
        <v>0.47433629385640835</v>
      </c>
      <c r="AB14" s="262" t="s">
        <v>331</v>
      </c>
    </row>
    <row r="15" spans="1:28" ht="12.75" customHeight="1">
      <c r="A15" s="263"/>
      <c r="B15" s="263"/>
      <c r="C15" s="263"/>
      <c r="D15" s="264"/>
      <c r="E15" s="244"/>
      <c r="F15" s="264"/>
      <c r="G15" s="264"/>
      <c r="H15" s="244"/>
      <c r="I15" s="244"/>
      <c r="J15" s="24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</row>
    <row r="16" spans="1:28" ht="12.75" customHeight="1">
      <c r="A16" s="264"/>
      <c r="B16" s="264"/>
      <c r="C16" s="264"/>
      <c r="D16" s="264"/>
      <c r="E16" s="244"/>
      <c r="F16" s="264"/>
      <c r="G16" s="26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</row>
    <row r="17" spans="1:28" ht="12.75" customHeight="1">
      <c r="A17" s="266"/>
      <c r="B17" s="266"/>
      <c r="C17" s="244"/>
      <c r="D17" s="266"/>
      <c r="E17" s="267"/>
      <c r="F17" s="266"/>
      <c r="G17" s="267"/>
      <c r="H17" s="267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</row>
    <row r="18" spans="1:28" ht="12.75" customHeight="1">
      <c r="A18" s="244"/>
      <c r="B18" s="244"/>
      <c r="C18" s="244"/>
      <c r="D18" s="266"/>
      <c r="E18" s="267"/>
      <c r="F18" s="266"/>
      <c r="G18" s="267"/>
      <c r="H18" s="267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</row>
    <row r="19" spans="1:28" ht="12.75" customHeight="1">
      <c r="A19" s="244"/>
      <c r="B19" s="244"/>
      <c r="C19" s="244"/>
      <c r="D19" s="266"/>
      <c r="E19" s="267"/>
      <c r="F19" s="266"/>
      <c r="G19" s="267"/>
      <c r="H19" s="267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</row>
    <row r="20" spans="1:28" ht="12.75" customHeight="1">
      <c r="A20" s="244"/>
      <c r="B20" s="244"/>
      <c r="C20" s="244"/>
      <c r="D20" s="266"/>
      <c r="E20" s="267"/>
      <c r="F20" s="266"/>
      <c r="G20" s="267"/>
      <c r="H20" s="267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</row>
    <row r="21" spans="1:28" ht="12.75" customHeight="1">
      <c r="A21" s="268" t="s">
        <v>333</v>
      </c>
      <c r="B21" s="269"/>
      <c r="C21" s="270"/>
      <c r="D21" s="271"/>
      <c r="E21" s="272"/>
      <c r="F21" s="270"/>
      <c r="G21" s="244"/>
      <c r="H21" s="268" t="s">
        <v>334</v>
      </c>
      <c r="I21" s="244"/>
      <c r="J21" s="244"/>
      <c r="K21" s="244"/>
      <c r="L21" s="273">
        <v>930</v>
      </c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</row>
    <row r="22" spans="1:28" ht="8.15" customHeight="1">
      <c r="A22" s="274"/>
      <c r="B22" s="275"/>
      <c r="C22" s="276"/>
      <c r="D22" s="277"/>
      <c r="E22" s="278"/>
      <c r="F22" s="276"/>
      <c r="G22" s="244"/>
      <c r="H22" s="279"/>
      <c r="I22" s="279"/>
      <c r="J22" s="279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</row>
    <row r="23" spans="1:28" ht="38.25" customHeight="1">
      <c r="A23" s="280" t="s">
        <v>335</v>
      </c>
      <c r="B23" s="281" t="s">
        <v>336</v>
      </c>
      <c r="C23" s="281" t="s">
        <v>337</v>
      </c>
      <c r="D23" s="281" t="s">
        <v>338</v>
      </c>
      <c r="E23" s="281" t="s">
        <v>339</v>
      </c>
      <c r="F23" s="282" t="s">
        <v>340</v>
      </c>
      <c r="G23" s="283"/>
      <c r="H23" s="284" t="s">
        <v>341</v>
      </c>
      <c r="I23" s="285"/>
      <c r="J23" s="286"/>
      <c r="K23" s="243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</row>
    <row r="24" spans="1:28" ht="13.5" customHeight="1">
      <c r="A24" s="287" t="s">
        <v>342</v>
      </c>
      <c r="B24" s="288" t="s">
        <v>179</v>
      </c>
      <c r="C24" s="288" t="s">
        <v>179</v>
      </c>
      <c r="D24" s="288" t="s">
        <v>179</v>
      </c>
      <c r="E24" s="288" t="s">
        <v>202</v>
      </c>
      <c r="F24" s="289" t="s">
        <v>202</v>
      </c>
      <c r="G24" s="283"/>
      <c r="H24" s="290"/>
      <c r="I24" s="291"/>
      <c r="J24" s="292"/>
      <c r="K24" s="243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</row>
    <row r="25" spans="1:28" ht="13.5" customHeight="1">
      <c r="A25" s="293">
        <v>75</v>
      </c>
      <c r="B25" s="294">
        <v>3201.81</v>
      </c>
      <c r="C25" s="295">
        <f t="shared" ref="C25:C35" si="0">A25/1000+1</f>
        <v>1.075</v>
      </c>
      <c r="D25" s="296">
        <f>$B$12</f>
        <v>0.67499999999999993</v>
      </c>
      <c r="E25" s="297">
        <f t="shared" ref="E25:E35" si="1">D25*C25*B25</f>
        <v>2323.3133812499996</v>
      </c>
      <c r="F25" s="298">
        <f t="shared" ref="F25:F35" si="2">E25*(1+$B$7/100)</f>
        <v>2671.8103884374991</v>
      </c>
      <c r="G25" s="283"/>
      <c r="H25" s="299" t="s">
        <v>343</v>
      </c>
      <c r="I25" s="300">
        <f>B25+B26+B35</f>
        <v>3201.81</v>
      </c>
      <c r="J25" s="301">
        <f>$I$25/($I$25+$I$30)</f>
        <v>0.62513252151095033</v>
      </c>
      <c r="K25" s="243"/>
      <c r="L25" s="244"/>
      <c r="M25" s="302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</row>
    <row r="26" spans="1:28" ht="12.75" customHeight="1">
      <c r="A26" s="303">
        <v>90</v>
      </c>
      <c r="B26" s="304">
        <v>0</v>
      </c>
      <c r="C26" s="255">
        <f t="shared" si="0"/>
        <v>1.0900000000000001</v>
      </c>
      <c r="D26" s="305">
        <f>$B$12</f>
        <v>0.67499999999999993</v>
      </c>
      <c r="E26" s="306">
        <f t="shared" si="1"/>
        <v>0</v>
      </c>
      <c r="F26" s="307">
        <f t="shared" si="2"/>
        <v>0</v>
      </c>
      <c r="G26" s="283"/>
      <c r="H26" s="308" t="s">
        <v>344</v>
      </c>
      <c r="I26" s="263"/>
      <c r="J26" s="309">
        <f>I25-J27-J28</f>
        <v>3187.4018550000001</v>
      </c>
      <c r="K26" s="243"/>
      <c r="L26" s="244"/>
      <c r="M26" s="302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</row>
    <row r="27" spans="1:28" ht="12.75" customHeight="1">
      <c r="A27" s="303">
        <v>110</v>
      </c>
      <c r="B27" s="304">
        <v>1920</v>
      </c>
      <c r="C27" s="255">
        <f t="shared" si="0"/>
        <v>1.1100000000000001</v>
      </c>
      <c r="D27" s="305">
        <f>$B$12</f>
        <v>0.67499999999999993</v>
      </c>
      <c r="E27" s="306">
        <f t="shared" si="1"/>
        <v>1438.56</v>
      </c>
      <c r="F27" s="307">
        <f t="shared" si="2"/>
        <v>1654.3439999999998</v>
      </c>
      <c r="G27" s="283"/>
      <c r="H27" s="310" t="s">
        <v>345</v>
      </c>
      <c r="I27" s="264"/>
      <c r="J27" s="311">
        <f>C91/100*I25</f>
        <v>6.4036200000000001</v>
      </c>
      <c r="K27" s="243"/>
      <c r="L27" s="244"/>
      <c r="M27" s="302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</row>
    <row r="28" spans="1:28" ht="12.75" customHeight="1">
      <c r="A28" s="303">
        <v>160</v>
      </c>
      <c r="B28" s="304">
        <v>0</v>
      </c>
      <c r="C28" s="255">
        <f t="shared" si="0"/>
        <v>1.1599999999999999</v>
      </c>
      <c r="D28" s="305">
        <f>$L$12</f>
        <v>0.76</v>
      </c>
      <c r="E28" s="306">
        <f t="shared" si="1"/>
        <v>0</v>
      </c>
      <c r="F28" s="307">
        <f t="shared" si="2"/>
        <v>0</v>
      </c>
      <c r="G28" s="283"/>
      <c r="H28" s="310" t="s">
        <v>346</v>
      </c>
      <c r="I28" s="264"/>
      <c r="J28" s="311">
        <f>C92/100*I25</f>
        <v>8.0045249999999992</v>
      </c>
      <c r="K28" s="243"/>
      <c r="L28" s="312">
        <f>J29/B37</f>
        <v>0.62513252151095033</v>
      </c>
      <c r="M28" s="302">
        <f>J25*L21</f>
        <v>581.37324500518378</v>
      </c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</row>
    <row r="29" spans="1:28" ht="12.75" customHeight="1">
      <c r="A29" s="303">
        <v>200</v>
      </c>
      <c r="B29" s="304">
        <v>0</v>
      </c>
      <c r="C29" s="255">
        <f t="shared" si="0"/>
        <v>1.2</v>
      </c>
      <c r="D29" s="305">
        <f>$L$12</f>
        <v>0.76</v>
      </c>
      <c r="E29" s="306">
        <f t="shared" si="1"/>
        <v>0</v>
      </c>
      <c r="F29" s="307">
        <f t="shared" si="2"/>
        <v>0</v>
      </c>
      <c r="G29" s="283"/>
      <c r="H29" s="313"/>
      <c r="I29" s="314"/>
      <c r="J29" s="315">
        <f>SUM(J26:J28)</f>
        <v>3201.81</v>
      </c>
      <c r="K29" s="243"/>
      <c r="L29" s="244"/>
      <c r="M29" s="302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</row>
    <row r="30" spans="1:28" ht="12.75" customHeight="1">
      <c r="A30" s="303">
        <v>250</v>
      </c>
      <c r="B30" s="304">
        <v>0</v>
      </c>
      <c r="C30" s="255">
        <f t="shared" si="0"/>
        <v>1.25</v>
      </c>
      <c r="D30" s="305">
        <f>$O$12</f>
        <v>0.8</v>
      </c>
      <c r="E30" s="306">
        <f t="shared" si="1"/>
        <v>0</v>
      </c>
      <c r="F30" s="307">
        <f t="shared" si="2"/>
        <v>0</v>
      </c>
      <c r="G30" s="283"/>
      <c r="H30" s="316" t="s">
        <v>347</v>
      </c>
      <c r="I30" s="300">
        <f>B27+B28+B29+B30+B31+B32+B33+B34</f>
        <v>1920</v>
      </c>
      <c r="J30" s="317">
        <f>$I$30/($I$25+$I$30)</f>
        <v>0.37486747848904983</v>
      </c>
      <c r="K30" s="243"/>
      <c r="L30" s="244"/>
      <c r="M30" s="302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</row>
    <row r="31" spans="1:28" ht="12.75" customHeight="1">
      <c r="A31" s="303">
        <f>N2</f>
        <v>200</v>
      </c>
      <c r="B31" s="304">
        <v>0</v>
      </c>
      <c r="C31" s="255">
        <f t="shared" si="0"/>
        <v>1.2</v>
      </c>
      <c r="D31" s="305">
        <f>$O$12</f>
        <v>0.8</v>
      </c>
      <c r="E31" s="306">
        <f t="shared" si="1"/>
        <v>0</v>
      </c>
      <c r="F31" s="307">
        <f t="shared" si="2"/>
        <v>0</v>
      </c>
      <c r="G31" s="283"/>
      <c r="H31" s="308" t="s">
        <v>348</v>
      </c>
      <c r="I31" s="263"/>
      <c r="J31" s="318">
        <f>B27+B31+B34</f>
        <v>1920</v>
      </c>
      <c r="K31" s="319">
        <f>IF(AND((C25:C35)&gt;=2,(C25:C35)&lt;3),(B25+B26),0)</f>
        <v>0</v>
      </c>
      <c r="L31" s="312">
        <f>J31/B37</f>
        <v>0.37486747848904983</v>
      </c>
      <c r="M31" s="302">
        <f>L31*L21</f>
        <v>348.62675499481634</v>
      </c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</row>
    <row r="32" spans="1:28" ht="12.75" customHeight="1">
      <c r="A32" s="303">
        <f>N2</f>
        <v>200</v>
      </c>
      <c r="B32" s="304">
        <v>0</v>
      </c>
      <c r="C32" s="255">
        <f t="shared" si="0"/>
        <v>1.2</v>
      </c>
      <c r="D32" s="305">
        <f>$O$12</f>
        <v>0.8</v>
      </c>
      <c r="E32" s="306">
        <f t="shared" si="1"/>
        <v>0</v>
      </c>
      <c r="F32" s="307">
        <f t="shared" si="2"/>
        <v>0</v>
      </c>
      <c r="G32" s="283"/>
      <c r="H32" s="310" t="s">
        <v>349</v>
      </c>
      <c r="I32" s="264"/>
      <c r="J32" s="320">
        <f>B27+B28+B29+B30+B31+B32+B33+B34</f>
        <v>1920</v>
      </c>
      <c r="K32" s="243"/>
      <c r="L32" s="312">
        <f>J32/B37</f>
        <v>0.37486747848904983</v>
      </c>
      <c r="M32" s="302">
        <f>L32*L21</f>
        <v>348.62675499481634</v>
      </c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</row>
    <row r="33" spans="1:28" ht="12.75" customHeight="1">
      <c r="A33" s="303">
        <f>Q2</f>
        <v>250</v>
      </c>
      <c r="B33" s="304">
        <v>0</v>
      </c>
      <c r="C33" s="255">
        <f t="shared" si="0"/>
        <v>1.25</v>
      </c>
      <c r="D33" s="305">
        <f>$R$12</f>
        <v>0.85</v>
      </c>
      <c r="E33" s="306">
        <f t="shared" si="1"/>
        <v>0</v>
      </c>
      <c r="F33" s="307">
        <f t="shared" si="2"/>
        <v>0</v>
      </c>
      <c r="G33" s="283"/>
      <c r="H33" s="310" t="s">
        <v>350</v>
      </c>
      <c r="I33" s="264"/>
      <c r="J33" s="320">
        <f>B29</f>
        <v>0</v>
      </c>
      <c r="K33" s="243"/>
      <c r="L33" s="312">
        <f>J33/B37</f>
        <v>0</v>
      </c>
      <c r="M33" s="302">
        <f>L33*L21</f>
        <v>0</v>
      </c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</row>
    <row r="34" spans="1:28" ht="12.75" customHeight="1">
      <c r="A34" s="303">
        <f>Q2</f>
        <v>250</v>
      </c>
      <c r="B34" s="304">
        <v>0</v>
      </c>
      <c r="C34" s="255">
        <f t="shared" si="0"/>
        <v>1.25</v>
      </c>
      <c r="D34" s="305">
        <f>$R$12</f>
        <v>0.85</v>
      </c>
      <c r="E34" s="306">
        <f t="shared" si="1"/>
        <v>0</v>
      </c>
      <c r="F34" s="307">
        <f t="shared" si="2"/>
        <v>0</v>
      </c>
      <c r="G34" s="283"/>
      <c r="H34" s="254"/>
      <c r="I34" s="264"/>
      <c r="J34" s="321">
        <f>SUM(J31:J33)</f>
        <v>3840</v>
      </c>
      <c r="K34" s="243"/>
      <c r="L34" s="312">
        <f>SUM(L28:L33)</f>
        <v>1.37486747848905</v>
      </c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</row>
    <row r="35" spans="1:28" ht="12.75" customHeight="1">
      <c r="A35" s="303">
        <f>T2</f>
        <v>315</v>
      </c>
      <c r="B35" s="304">
        <v>0</v>
      </c>
      <c r="C35" s="255">
        <f t="shared" si="0"/>
        <v>1.3149999999999999</v>
      </c>
      <c r="D35" s="305">
        <f>U12</f>
        <v>0.91500000000000004</v>
      </c>
      <c r="E35" s="306">
        <f t="shared" si="1"/>
        <v>0</v>
      </c>
      <c r="F35" s="307">
        <f t="shared" si="2"/>
        <v>0</v>
      </c>
      <c r="G35" s="283"/>
      <c r="H35" s="310" t="s">
        <v>344</v>
      </c>
      <c r="I35" s="264"/>
      <c r="J35" s="311">
        <f>J34-J38</f>
        <v>3831.36</v>
      </c>
      <c r="K35" s="243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</row>
    <row r="36" spans="1:28" ht="13.5" customHeight="1">
      <c r="A36" s="322"/>
      <c r="B36" s="323"/>
      <c r="C36" s="324"/>
      <c r="D36" s="325"/>
      <c r="E36" s="326"/>
      <c r="F36" s="327"/>
      <c r="G36" s="283"/>
      <c r="H36" s="310" t="s">
        <v>345</v>
      </c>
      <c r="I36" s="264"/>
      <c r="J36" s="311">
        <f>I30*C91/100</f>
        <v>3.84</v>
      </c>
      <c r="K36" s="243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</row>
    <row r="37" spans="1:28" ht="13.5" customHeight="1">
      <c r="A37" s="328" t="s">
        <v>351</v>
      </c>
      <c r="B37" s="329">
        <f>SUM(B25:B36)</f>
        <v>5121.8099999999995</v>
      </c>
      <c r="C37" s="330"/>
      <c r="D37" s="331"/>
      <c r="E37" s="331">
        <f>SUM(E25:E36)</f>
        <v>3761.8733812499995</v>
      </c>
      <c r="F37" s="332">
        <f>SUM(F25:F36)</f>
        <v>4326.1543884374987</v>
      </c>
      <c r="G37" s="283"/>
      <c r="H37" s="310" t="s">
        <v>346</v>
      </c>
      <c r="I37" s="264"/>
      <c r="J37" s="311">
        <f>I30*C92/100</f>
        <v>4.8</v>
      </c>
      <c r="K37" s="243"/>
      <c r="L37" s="244"/>
      <c r="M37" s="302">
        <f>SUM(M25:M33)</f>
        <v>1278.6267549948166</v>
      </c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</row>
    <row r="38" spans="1:28" ht="13.5" customHeight="1">
      <c r="A38" s="265"/>
      <c r="B38" s="265"/>
      <c r="C38" s="265"/>
      <c r="D38" s="265"/>
      <c r="E38" s="265"/>
      <c r="F38" s="265"/>
      <c r="G38" s="245"/>
      <c r="H38" s="313"/>
      <c r="I38" s="314"/>
      <c r="J38" s="315">
        <f>SUM(J36:J37)</f>
        <v>8.64</v>
      </c>
      <c r="K38" s="243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</row>
    <row r="39" spans="1:28" ht="12.75" customHeight="1">
      <c r="A39" s="333" t="s">
        <v>352</v>
      </c>
      <c r="B39" s="334">
        <f>B37*1</f>
        <v>5121.8099999999995</v>
      </c>
      <c r="C39" s="244"/>
      <c r="D39" s="244"/>
      <c r="E39" s="244"/>
      <c r="F39" s="244"/>
      <c r="G39" s="244"/>
      <c r="H39" s="263"/>
      <c r="I39" s="335">
        <f>J29+J38</f>
        <v>3210.45</v>
      </c>
      <c r="J39" s="33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</row>
    <row r="40" spans="1:28" ht="12.75" customHeight="1">
      <c r="A40" s="244"/>
      <c r="B40" s="244"/>
      <c r="C40" s="244"/>
      <c r="D40" s="244"/>
      <c r="E40" s="244"/>
      <c r="F40" s="244"/>
      <c r="G40" s="244"/>
      <c r="H40" s="264"/>
      <c r="I40" s="264"/>
      <c r="J40" s="33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</row>
    <row r="41" spans="1:28" ht="12.75" customHeight="1">
      <c r="A41" s="268" t="s">
        <v>353</v>
      </c>
      <c r="B41" s="269"/>
      <c r="C41" s="270"/>
      <c r="D41" s="271"/>
      <c r="E41" s="272"/>
      <c r="F41" s="270"/>
      <c r="G41" s="268" t="s">
        <v>354</v>
      </c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</row>
    <row r="42" spans="1:28" ht="8.15" customHeight="1">
      <c r="A42" s="274"/>
      <c r="B42" s="275"/>
      <c r="C42" s="276"/>
      <c r="D42" s="277"/>
      <c r="E42" s="278"/>
      <c r="F42" s="276"/>
      <c r="G42" s="279"/>
      <c r="H42" s="279"/>
      <c r="I42" s="279"/>
      <c r="J42" s="279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</row>
    <row r="43" spans="1:28" ht="25.5" customHeight="1">
      <c r="A43" s="280" t="s">
        <v>335</v>
      </c>
      <c r="B43" s="281" t="s">
        <v>336</v>
      </c>
      <c r="C43" s="281" t="s">
        <v>337</v>
      </c>
      <c r="D43" s="281" t="s">
        <v>338</v>
      </c>
      <c r="E43" s="281" t="s">
        <v>339</v>
      </c>
      <c r="F43" s="282" t="s">
        <v>340</v>
      </c>
      <c r="G43" s="338" t="s">
        <v>355</v>
      </c>
      <c r="H43" s="339"/>
      <c r="I43" s="340"/>
      <c r="J43" s="341"/>
      <c r="K43" s="243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</row>
    <row r="44" spans="1:28" ht="13.5" customHeight="1">
      <c r="A44" s="287" t="s">
        <v>342</v>
      </c>
      <c r="B44" s="288" t="s">
        <v>179</v>
      </c>
      <c r="C44" s="288" t="s">
        <v>179</v>
      </c>
      <c r="D44" s="288" t="s">
        <v>179</v>
      </c>
      <c r="E44" s="288" t="s">
        <v>202</v>
      </c>
      <c r="F44" s="289" t="s">
        <v>202</v>
      </c>
      <c r="G44" s="342" t="s">
        <v>356</v>
      </c>
      <c r="H44" s="343" t="s">
        <v>100</v>
      </c>
      <c r="I44" s="344" t="s">
        <v>357</v>
      </c>
      <c r="J44" s="345">
        <f>J25</f>
        <v>0.62513252151095033</v>
      </c>
      <c r="K44" s="243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</row>
    <row r="45" spans="1:28" ht="12.75" customHeight="1">
      <c r="A45" s="293">
        <f t="shared" ref="A45:B55" si="3">A25</f>
        <v>75</v>
      </c>
      <c r="B45" s="294">
        <f t="shared" si="3"/>
        <v>3201.81</v>
      </c>
      <c r="C45" s="295">
        <f>$B$8</f>
        <v>0.1</v>
      </c>
      <c r="D45" s="296">
        <f t="shared" ref="D45:D55" si="4">D25</f>
        <v>0.67499999999999993</v>
      </c>
      <c r="E45" s="297">
        <f t="shared" ref="E45:E55" si="5">D45*C45*B45</f>
        <v>216.12217499999997</v>
      </c>
      <c r="F45" s="346">
        <f t="shared" ref="F45:F55" si="6">E45*(1+$B$7/100)</f>
        <v>248.54050124999995</v>
      </c>
      <c r="G45" s="347"/>
      <c r="H45" s="348"/>
      <c r="I45" s="349"/>
      <c r="J45" s="350"/>
      <c r="K45" s="243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</row>
    <row r="46" spans="1:28" ht="12.75" customHeight="1">
      <c r="A46" s="303">
        <f t="shared" si="3"/>
        <v>90</v>
      </c>
      <c r="B46" s="304">
        <f t="shared" si="3"/>
        <v>0</v>
      </c>
      <c r="C46" s="255">
        <f>$L$8</f>
        <v>0.1</v>
      </c>
      <c r="D46" s="305">
        <f t="shared" si="4"/>
        <v>0.67499999999999993</v>
      </c>
      <c r="E46" s="306">
        <f t="shared" si="5"/>
        <v>0</v>
      </c>
      <c r="F46" s="351">
        <f t="shared" si="6"/>
        <v>0</v>
      </c>
      <c r="G46" s="251" t="s">
        <v>358</v>
      </c>
      <c r="H46" s="352">
        <f>1-($C$91+$C$92)</f>
        <v>0.55000000000000004</v>
      </c>
      <c r="I46" s="353">
        <f>H46*$F$62*$J$44</f>
        <v>1624.1281663967782</v>
      </c>
      <c r="J46" s="354"/>
      <c r="K46" s="243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</row>
    <row r="47" spans="1:28" ht="12.75" customHeight="1">
      <c r="A47" s="303">
        <f t="shared" si="3"/>
        <v>110</v>
      </c>
      <c r="B47" s="304">
        <f t="shared" si="3"/>
        <v>1920</v>
      </c>
      <c r="C47" s="255">
        <f>$L$8</f>
        <v>0.1</v>
      </c>
      <c r="D47" s="305">
        <f t="shared" si="4"/>
        <v>0.67499999999999993</v>
      </c>
      <c r="E47" s="306">
        <f t="shared" si="5"/>
        <v>129.6</v>
      </c>
      <c r="F47" s="351">
        <f t="shared" si="6"/>
        <v>149.04</v>
      </c>
      <c r="G47" s="251" t="str">
        <f>A91</f>
        <v>Intermediate</v>
      </c>
      <c r="H47" s="352">
        <f>C91</f>
        <v>0.2</v>
      </c>
      <c r="I47" s="353">
        <f>H47*$F$62*$J$44</f>
        <v>590.59206050791931</v>
      </c>
      <c r="J47" s="355"/>
      <c r="K47" s="243"/>
      <c r="L47" s="334">
        <f>0.7*F62</f>
        <v>3306.6144227812488</v>
      </c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</row>
    <row r="48" spans="1:28" ht="13.5" customHeight="1">
      <c r="A48" s="303">
        <f t="shared" si="3"/>
        <v>160</v>
      </c>
      <c r="B48" s="304">
        <f t="shared" si="3"/>
        <v>0</v>
      </c>
      <c r="C48" s="255">
        <f>$L$8</f>
        <v>0.1</v>
      </c>
      <c r="D48" s="305">
        <f t="shared" si="4"/>
        <v>0.76</v>
      </c>
      <c r="E48" s="306">
        <f t="shared" si="5"/>
        <v>0</v>
      </c>
      <c r="F48" s="351">
        <f t="shared" si="6"/>
        <v>0</v>
      </c>
      <c r="G48" s="260" t="str">
        <f>A92</f>
        <v>Hard rock</v>
      </c>
      <c r="H48" s="356">
        <f>C92</f>
        <v>0.25</v>
      </c>
      <c r="I48" s="357">
        <f>H48*$F$62*$J$44</f>
        <v>738.2400756348992</v>
      </c>
      <c r="J48" s="358"/>
      <c r="K48" s="243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</row>
    <row r="49" spans="1:28" ht="12.75" customHeight="1">
      <c r="A49" s="303">
        <f t="shared" si="3"/>
        <v>200</v>
      </c>
      <c r="B49" s="304">
        <f t="shared" si="3"/>
        <v>0</v>
      </c>
      <c r="C49" s="255">
        <f>$L$8</f>
        <v>0.1</v>
      </c>
      <c r="D49" s="305">
        <f t="shared" si="4"/>
        <v>0.76</v>
      </c>
      <c r="E49" s="306">
        <f t="shared" si="5"/>
        <v>0</v>
      </c>
      <c r="F49" s="351">
        <f t="shared" si="6"/>
        <v>0</v>
      </c>
      <c r="G49" s="359"/>
      <c r="H49" s="263"/>
      <c r="I49" s="360">
        <f>SUM(I46:I48)</f>
        <v>2952.9603025395968</v>
      </c>
      <c r="J49" s="361"/>
      <c r="K49" s="243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</row>
    <row r="50" spans="1:28" ht="12.75" customHeight="1">
      <c r="A50" s="303">
        <f t="shared" si="3"/>
        <v>250</v>
      </c>
      <c r="B50" s="304">
        <f t="shared" si="3"/>
        <v>0</v>
      </c>
      <c r="C50" s="255">
        <f>$O$8</f>
        <v>0.1</v>
      </c>
      <c r="D50" s="305">
        <f t="shared" si="4"/>
        <v>0.8</v>
      </c>
      <c r="E50" s="306">
        <f t="shared" si="5"/>
        <v>0</v>
      </c>
      <c r="F50" s="351">
        <f t="shared" si="6"/>
        <v>0</v>
      </c>
      <c r="G50" s="362"/>
      <c r="H50" s="363"/>
      <c r="I50" s="363"/>
      <c r="J50" s="364"/>
      <c r="K50" s="243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</row>
    <row r="51" spans="1:28" ht="13.5" customHeight="1">
      <c r="A51" s="303">
        <f t="shared" si="3"/>
        <v>200</v>
      </c>
      <c r="B51" s="304">
        <f t="shared" si="3"/>
        <v>0</v>
      </c>
      <c r="C51" s="255">
        <f>$O$8</f>
        <v>0.1</v>
      </c>
      <c r="D51" s="305">
        <f t="shared" si="4"/>
        <v>0.8</v>
      </c>
      <c r="E51" s="306">
        <f t="shared" si="5"/>
        <v>0</v>
      </c>
      <c r="F51" s="351">
        <f t="shared" si="6"/>
        <v>0</v>
      </c>
      <c r="G51" s="342" t="s">
        <v>356</v>
      </c>
      <c r="H51" s="343" t="s">
        <v>100</v>
      </c>
      <c r="I51" s="344" t="s">
        <v>359</v>
      </c>
      <c r="J51" s="345">
        <f>J30</f>
        <v>0.37486747848904983</v>
      </c>
      <c r="K51" s="243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</row>
    <row r="52" spans="1:28" ht="12.75" customHeight="1">
      <c r="A52" s="303">
        <f t="shared" si="3"/>
        <v>200</v>
      </c>
      <c r="B52" s="304">
        <f t="shared" si="3"/>
        <v>0</v>
      </c>
      <c r="C52" s="255">
        <f>$O$8</f>
        <v>0.1</v>
      </c>
      <c r="D52" s="305">
        <f t="shared" si="4"/>
        <v>0.8</v>
      </c>
      <c r="E52" s="306">
        <f t="shared" si="5"/>
        <v>0</v>
      </c>
      <c r="F52" s="351">
        <f t="shared" si="6"/>
        <v>0</v>
      </c>
      <c r="G52" s="365" t="s">
        <v>358</v>
      </c>
      <c r="H52" s="366">
        <f>1-($C$91+$C$92)</f>
        <v>0.55000000000000004</v>
      </c>
      <c r="I52" s="367">
        <f>H52*$F$62*$J$51</f>
        <v>973.92602293134644</v>
      </c>
      <c r="J52" s="350"/>
      <c r="K52" s="243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</row>
    <row r="53" spans="1:28" ht="12.75" customHeight="1">
      <c r="A53" s="303">
        <f t="shared" si="3"/>
        <v>250</v>
      </c>
      <c r="B53" s="304">
        <f t="shared" si="3"/>
        <v>0</v>
      </c>
      <c r="C53" s="255">
        <f>$U$8</f>
        <v>0.1</v>
      </c>
      <c r="D53" s="305">
        <f t="shared" si="4"/>
        <v>0.85</v>
      </c>
      <c r="E53" s="306">
        <f t="shared" si="5"/>
        <v>0</v>
      </c>
      <c r="F53" s="351">
        <f t="shared" si="6"/>
        <v>0</v>
      </c>
      <c r="G53" s="251" t="str">
        <f>A91</f>
        <v>Intermediate</v>
      </c>
      <c r="H53" s="352">
        <f>C91</f>
        <v>0.2</v>
      </c>
      <c r="I53" s="368">
        <f>H53*$F$62*$J$51</f>
        <v>354.15491742958051</v>
      </c>
      <c r="J53" s="355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</row>
    <row r="54" spans="1:28" ht="12.75" customHeight="1">
      <c r="A54" s="303">
        <f t="shared" si="3"/>
        <v>250</v>
      </c>
      <c r="B54" s="304">
        <f t="shared" si="3"/>
        <v>0</v>
      </c>
      <c r="C54" s="255">
        <f>$U$8</f>
        <v>0.1</v>
      </c>
      <c r="D54" s="305">
        <f t="shared" si="4"/>
        <v>0.85</v>
      </c>
      <c r="E54" s="306">
        <f t="shared" si="5"/>
        <v>0</v>
      </c>
      <c r="F54" s="351">
        <f t="shared" si="6"/>
        <v>0</v>
      </c>
      <c r="G54" s="251" t="str">
        <f>A92</f>
        <v>Hard rock</v>
      </c>
      <c r="H54" s="352">
        <f>C92</f>
        <v>0.25</v>
      </c>
      <c r="I54" s="368">
        <f>H54*$F$62*$J$51</f>
        <v>442.69364678697559</v>
      </c>
      <c r="J54" s="355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</row>
    <row r="55" spans="1:28" ht="13.5" customHeight="1">
      <c r="A55" s="322">
        <f t="shared" si="3"/>
        <v>315</v>
      </c>
      <c r="B55" s="323">
        <f t="shared" si="3"/>
        <v>0</v>
      </c>
      <c r="C55" s="324">
        <f>$U$8</f>
        <v>0.1</v>
      </c>
      <c r="D55" s="325">
        <f t="shared" si="4"/>
        <v>0.91500000000000004</v>
      </c>
      <c r="E55" s="326">
        <f t="shared" si="5"/>
        <v>0</v>
      </c>
      <c r="F55" s="369">
        <f t="shared" si="6"/>
        <v>0</v>
      </c>
      <c r="G55" s="370"/>
      <c r="H55" s="371"/>
      <c r="I55" s="372">
        <f>SUM(I52:I54)</f>
        <v>1770.7745871479024</v>
      </c>
      <c r="J55" s="358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</row>
    <row r="56" spans="1:28" ht="13.5" customHeight="1">
      <c r="A56" s="328" t="s">
        <v>351</v>
      </c>
      <c r="B56" s="373">
        <f>SUM(B45:B55)</f>
        <v>5121.8099999999995</v>
      </c>
      <c r="C56" s="374"/>
      <c r="D56" s="375"/>
      <c r="E56" s="331">
        <f>SUM(E41:E55)</f>
        <v>345.72217499999999</v>
      </c>
      <c r="F56" s="332">
        <f>SUM(F45:F55)</f>
        <v>397.58050124999994</v>
      </c>
      <c r="G56" s="376" t="s">
        <v>360</v>
      </c>
      <c r="H56" s="377"/>
      <c r="I56" s="378">
        <f>I49+I55</f>
        <v>4723.7348896874992</v>
      </c>
      <c r="J56" s="379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</row>
    <row r="57" spans="1:28" ht="12.75" customHeight="1">
      <c r="A57" s="380"/>
      <c r="B57" s="381"/>
      <c r="C57" s="263"/>
      <c r="D57" s="382"/>
      <c r="E57" s="382"/>
      <c r="F57" s="383"/>
      <c r="G57" s="265"/>
      <c r="H57" s="384"/>
      <c r="I57" s="265"/>
      <c r="J57" s="265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</row>
    <row r="58" spans="1:28" ht="12.75" customHeight="1">
      <c r="A58" s="268" t="s">
        <v>361</v>
      </c>
      <c r="B58" s="269"/>
      <c r="C58" s="264"/>
      <c r="D58" s="271"/>
      <c r="E58" s="271"/>
      <c r="F58" s="272"/>
      <c r="G58" s="244"/>
      <c r="H58" s="267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</row>
    <row r="59" spans="1:28" ht="8.15" customHeight="1">
      <c r="A59" s="385"/>
      <c r="B59" s="275"/>
      <c r="C59" s="314"/>
      <c r="D59" s="277"/>
      <c r="E59" s="277"/>
      <c r="F59" s="278"/>
      <c r="G59" s="244"/>
      <c r="H59" s="267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</row>
    <row r="60" spans="1:28" ht="15.65" customHeight="1">
      <c r="A60" s="386" t="str">
        <f>A21</f>
        <v>Excavation Volume to Pipe Invert</v>
      </c>
      <c r="B60" s="387"/>
      <c r="C60" s="387"/>
      <c r="D60" s="387"/>
      <c r="E60" s="388"/>
      <c r="F60" s="346">
        <f>F37</f>
        <v>4326.1543884374987</v>
      </c>
      <c r="G60" s="243"/>
      <c r="H60" s="267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</row>
    <row r="61" spans="1:28" ht="13.5" customHeight="1">
      <c r="A61" s="389" t="str">
        <f>A41</f>
        <v xml:space="preserve">Excavation Volume of Trench Bottom </v>
      </c>
      <c r="B61" s="390"/>
      <c r="C61" s="390"/>
      <c r="D61" s="390"/>
      <c r="E61" s="391"/>
      <c r="F61" s="369">
        <f>F56</f>
        <v>397.58050124999994</v>
      </c>
      <c r="G61" s="243"/>
      <c r="H61" s="267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</row>
    <row r="62" spans="1:28" ht="13.5" customHeight="1">
      <c r="A62" s="392" t="s">
        <v>362</v>
      </c>
      <c r="B62" s="393"/>
      <c r="C62" s="394"/>
      <c r="D62" s="395"/>
      <c r="E62" s="396"/>
      <c r="F62" s="332">
        <f>SUM(F60:F61)</f>
        <v>4723.7348896874983</v>
      </c>
      <c r="G62" s="397"/>
      <c r="H62" s="398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</row>
    <row r="63" spans="1:28" ht="12.75" customHeight="1">
      <c r="A63" s="399"/>
      <c r="B63" s="400"/>
      <c r="C63" s="401"/>
      <c r="D63" s="402"/>
      <c r="E63" s="400"/>
      <c r="F63" s="383"/>
      <c r="G63" s="244"/>
      <c r="H63" s="267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</row>
    <row r="64" spans="1:28" ht="12.75" customHeight="1">
      <c r="A64" s="403"/>
      <c r="B64" s="269"/>
      <c r="C64" s="264"/>
      <c r="D64" s="271"/>
      <c r="E64" s="271"/>
      <c r="F64" s="272"/>
      <c r="G64" s="244"/>
      <c r="H64" s="267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</row>
    <row r="65" spans="1:28" ht="12.75" customHeight="1">
      <c r="A65" s="268" t="s">
        <v>363</v>
      </c>
      <c r="B65" s="244"/>
      <c r="C65" s="244"/>
      <c r="D65" s="266"/>
      <c r="E65" s="267"/>
      <c r="F65" s="266">
        <f>B7</f>
        <v>15</v>
      </c>
      <c r="G65" s="244"/>
      <c r="H65" s="267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</row>
    <row r="66" spans="1:28" ht="8.15" customHeight="1">
      <c r="A66" s="279"/>
      <c r="B66" s="279"/>
      <c r="C66" s="279"/>
      <c r="D66" s="279"/>
      <c r="E66" s="279"/>
      <c r="F66" s="279"/>
      <c r="G66" s="404"/>
      <c r="H66" s="404"/>
      <c r="I66" s="279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</row>
    <row r="67" spans="1:28" ht="38.25" customHeight="1">
      <c r="A67" s="280" t="s">
        <v>335</v>
      </c>
      <c r="B67" s="281" t="s">
        <v>336</v>
      </c>
      <c r="C67" s="281" t="s">
        <v>364</v>
      </c>
      <c r="D67" s="281" t="s">
        <v>365</v>
      </c>
      <c r="E67" s="281" t="s">
        <v>366</v>
      </c>
      <c r="F67" s="282" t="s">
        <v>367</v>
      </c>
      <c r="G67" s="280" t="s">
        <v>368</v>
      </c>
      <c r="H67" s="281" t="s">
        <v>369</v>
      </c>
      <c r="I67" s="282" t="s">
        <v>370</v>
      </c>
      <c r="J67" s="405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</row>
    <row r="68" spans="1:28" ht="13.5" customHeight="1">
      <c r="A68" s="287" t="s">
        <v>342</v>
      </c>
      <c r="B68" s="288" t="s">
        <v>179</v>
      </c>
      <c r="C68" s="288" t="s">
        <v>331</v>
      </c>
      <c r="D68" s="288" t="s">
        <v>202</v>
      </c>
      <c r="E68" s="288" t="s">
        <v>202</v>
      </c>
      <c r="F68" s="289" t="s">
        <v>202</v>
      </c>
      <c r="G68" s="287" t="s">
        <v>331</v>
      </c>
      <c r="H68" s="288" t="s">
        <v>202</v>
      </c>
      <c r="I68" s="289" t="s">
        <v>202</v>
      </c>
      <c r="J68" s="406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</row>
    <row r="69" spans="1:28" ht="12.75" customHeight="1">
      <c r="A69" s="293">
        <f t="shared" ref="A69:B79" si="7">A25</f>
        <v>75</v>
      </c>
      <c r="B69" s="294">
        <f t="shared" si="7"/>
        <v>3201.81</v>
      </c>
      <c r="C69" s="407">
        <f>$B$14</f>
        <v>0.18120713533088934</v>
      </c>
      <c r="D69" s="297">
        <f t="shared" ref="D69:D79" si="8">C69*B69*(1+$B$7/100)</f>
        <v>667.21944066986396</v>
      </c>
      <c r="E69" s="297">
        <f t="shared" ref="E69:E79" si="9">(A69/1000)^2*PI()/4*B69</f>
        <v>14.14516327620516</v>
      </c>
      <c r="F69" s="346">
        <f t="shared" ref="F69:F79" si="10">(D69-E69)*(1+($B$7/100))</f>
        <v>751.03541900270761</v>
      </c>
      <c r="G69" s="408">
        <f t="shared" ref="G69:G79" si="11">$O$12*$O$11</f>
        <v>0.16000000000000003</v>
      </c>
      <c r="H69" s="297">
        <f t="shared" ref="H69:H79" si="12">G69*B69</f>
        <v>512.28960000000006</v>
      </c>
      <c r="I69" s="346">
        <f t="shared" ref="I69:I79" si="13">H69*(1+$B$7/100)</f>
        <v>589.13304000000005</v>
      </c>
      <c r="J69" s="409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</row>
    <row r="70" spans="1:28" ht="12.75" customHeight="1">
      <c r="A70" s="303">
        <f t="shared" si="7"/>
        <v>90</v>
      </c>
      <c r="B70" s="304">
        <f t="shared" si="7"/>
        <v>0</v>
      </c>
      <c r="C70" s="252">
        <f>$L$14</f>
        <v>0.25349380701702534</v>
      </c>
      <c r="D70" s="306">
        <f t="shared" si="8"/>
        <v>0</v>
      </c>
      <c r="E70" s="306">
        <f t="shared" si="9"/>
        <v>0</v>
      </c>
      <c r="F70" s="351">
        <f t="shared" si="10"/>
        <v>0</v>
      </c>
      <c r="G70" s="410">
        <f t="shared" si="11"/>
        <v>0.16000000000000003</v>
      </c>
      <c r="H70" s="306">
        <f t="shared" si="12"/>
        <v>0</v>
      </c>
      <c r="I70" s="351">
        <f t="shared" si="13"/>
        <v>0</v>
      </c>
      <c r="J70" s="409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</row>
    <row r="71" spans="1:28" ht="12.75" customHeight="1">
      <c r="A71" s="303">
        <f t="shared" si="7"/>
        <v>110</v>
      </c>
      <c r="B71" s="304">
        <f t="shared" si="7"/>
        <v>1920</v>
      </c>
      <c r="C71" s="252">
        <f>$L$14</f>
        <v>0.25349380701702534</v>
      </c>
      <c r="D71" s="306">
        <f t="shared" si="8"/>
        <v>559.71432589359188</v>
      </c>
      <c r="E71" s="306">
        <f t="shared" si="9"/>
        <v>18.24637013204952</v>
      </c>
      <c r="F71" s="351">
        <f t="shared" si="10"/>
        <v>622.68814912577375</v>
      </c>
      <c r="G71" s="410">
        <f t="shared" si="11"/>
        <v>0.16000000000000003</v>
      </c>
      <c r="H71" s="306">
        <f t="shared" si="12"/>
        <v>307.20000000000005</v>
      </c>
      <c r="I71" s="351">
        <f t="shared" si="13"/>
        <v>353.28000000000003</v>
      </c>
      <c r="J71" s="409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</row>
    <row r="72" spans="1:28" ht="12.75" customHeight="1">
      <c r="A72" s="303">
        <f t="shared" si="7"/>
        <v>160</v>
      </c>
      <c r="B72" s="304">
        <f t="shared" si="7"/>
        <v>0</v>
      </c>
      <c r="C72" s="252">
        <f>$L$14</f>
        <v>0.25349380701702534</v>
      </c>
      <c r="D72" s="306">
        <f t="shared" si="8"/>
        <v>0</v>
      </c>
      <c r="E72" s="306">
        <f t="shared" si="9"/>
        <v>0</v>
      </c>
      <c r="F72" s="351">
        <f t="shared" si="10"/>
        <v>0</v>
      </c>
      <c r="G72" s="410">
        <f t="shared" si="11"/>
        <v>0.16000000000000003</v>
      </c>
      <c r="H72" s="306">
        <f t="shared" si="12"/>
        <v>0</v>
      </c>
      <c r="I72" s="351">
        <f t="shared" si="13"/>
        <v>0</v>
      </c>
      <c r="J72" s="409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</row>
    <row r="73" spans="1:28" ht="12.75" customHeight="1">
      <c r="A73" s="303">
        <f t="shared" si="7"/>
        <v>200</v>
      </c>
      <c r="B73" s="304">
        <f t="shared" si="7"/>
        <v>0</v>
      </c>
      <c r="C73" s="252">
        <f>$L$14</f>
        <v>0.25349380701702534</v>
      </c>
      <c r="D73" s="306">
        <f t="shared" si="8"/>
        <v>0</v>
      </c>
      <c r="E73" s="306">
        <f t="shared" si="9"/>
        <v>0</v>
      </c>
      <c r="F73" s="351">
        <f t="shared" si="10"/>
        <v>0</v>
      </c>
      <c r="G73" s="410">
        <f t="shared" si="11"/>
        <v>0.16000000000000003</v>
      </c>
      <c r="H73" s="306">
        <f t="shared" si="12"/>
        <v>0</v>
      </c>
      <c r="I73" s="351">
        <f t="shared" si="13"/>
        <v>0</v>
      </c>
      <c r="J73" s="409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</row>
    <row r="74" spans="1:28" ht="12.75" customHeight="1">
      <c r="A74" s="303">
        <f t="shared" si="7"/>
        <v>250</v>
      </c>
      <c r="B74" s="304">
        <f t="shared" si="7"/>
        <v>0</v>
      </c>
      <c r="C74" s="252">
        <f>$O$14</f>
        <v>0.28858407346410214</v>
      </c>
      <c r="D74" s="306">
        <f t="shared" si="8"/>
        <v>0</v>
      </c>
      <c r="E74" s="306">
        <f t="shared" si="9"/>
        <v>0</v>
      </c>
      <c r="F74" s="351">
        <f t="shared" si="10"/>
        <v>0</v>
      </c>
      <c r="G74" s="410">
        <f t="shared" si="11"/>
        <v>0.16000000000000003</v>
      </c>
      <c r="H74" s="306">
        <f t="shared" si="12"/>
        <v>0</v>
      </c>
      <c r="I74" s="351">
        <f t="shared" si="13"/>
        <v>0</v>
      </c>
      <c r="J74" s="409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</row>
    <row r="75" spans="1:28" ht="12.75" customHeight="1">
      <c r="A75" s="303">
        <f t="shared" si="7"/>
        <v>200</v>
      </c>
      <c r="B75" s="304">
        <f t="shared" si="7"/>
        <v>0</v>
      </c>
      <c r="C75" s="252">
        <f>$O$14</f>
        <v>0.28858407346410214</v>
      </c>
      <c r="D75" s="306">
        <f t="shared" si="8"/>
        <v>0</v>
      </c>
      <c r="E75" s="306">
        <f t="shared" si="9"/>
        <v>0</v>
      </c>
      <c r="F75" s="351">
        <f t="shared" si="10"/>
        <v>0</v>
      </c>
      <c r="G75" s="410">
        <f t="shared" si="11"/>
        <v>0.16000000000000003</v>
      </c>
      <c r="H75" s="306">
        <f t="shared" si="12"/>
        <v>0</v>
      </c>
      <c r="I75" s="351">
        <f t="shared" si="13"/>
        <v>0</v>
      </c>
      <c r="J75" s="409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</row>
    <row r="76" spans="1:28" ht="12.75" customHeight="1">
      <c r="A76" s="303">
        <f t="shared" si="7"/>
        <v>200</v>
      </c>
      <c r="B76" s="304">
        <f t="shared" si="7"/>
        <v>0</v>
      </c>
      <c r="C76" s="252">
        <f>$O$14</f>
        <v>0.28858407346410214</v>
      </c>
      <c r="D76" s="306">
        <f t="shared" si="8"/>
        <v>0</v>
      </c>
      <c r="E76" s="306">
        <f t="shared" si="9"/>
        <v>0</v>
      </c>
      <c r="F76" s="351">
        <f t="shared" si="10"/>
        <v>0</v>
      </c>
      <c r="G76" s="410">
        <f t="shared" si="11"/>
        <v>0.16000000000000003</v>
      </c>
      <c r="H76" s="306">
        <f t="shared" si="12"/>
        <v>0</v>
      </c>
      <c r="I76" s="351">
        <f t="shared" si="13"/>
        <v>0</v>
      </c>
      <c r="J76" s="409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</row>
    <row r="77" spans="1:28" ht="12.75" customHeight="1">
      <c r="A77" s="303">
        <f t="shared" si="7"/>
        <v>250</v>
      </c>
      <c r="B77" s="304">
        <f t="shared" si="7"/>
        <v>0</v>
      </c>
      <c r="C77" s="252">
        <f>$R$14</f>
        <v>0.33341261478765949</v>
      </c>
      <c r="D77" s="306">
        <f t="shared" si="8"/>
        <v>0</v>
      </c>
      <c r="E77" s="306">
        <f t="shared" si="9"/>
        <v>0</v>
      </c>
      <c r="F77" s="351">
        <f t="shared" si="10"/>
        <v>0</v>
      </c>
      <c r="G77" s="410">
        <f t="shared" si="11"/>
        <v>0.16000000000000003</v>
      </c>
      <c r="H77" s="306">
        <f t="shared" si="12"/>
        <v>0</v>
      </c>
      <c r="I77" s="351">
        <f t="shared" si="13"/>
        <v>0</v>
      </c>
      <c r="J77" s="409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</row>
    <row r="78" spans="1:28" ht="12.75" customHeight="1">
      <c r="A78" s="303">
        <f t="shared" si="7"/>
        <v>250</v>
      </c>
      <c r="B78" s="304">
        <f t="shared" si="7"/>
        <v>0</v>
      </c>
      <c r="C78" s="252">
        <f>$R$14</f>
        <v>0.33341261478765949</v>
      </c>
      <c r="D78" s="306">
        <f t="shared" si="8"/>
        <v>0</v>
      </c>
      <c r="E78" s="306">
        <f t="shared" si="9"/>
        <v>0</v>
      </c>
      <c r="F78" s="351">
        <f t="shared" si="10"/>
        <v>0</v>
      </c>
      <c r="G78" s="410">
        <f t="shared" si="11"/>
        <v>0.16000000000000003</v>
      </c>
      <c r="H78" s="306">
        <f t="shared" si="12"/>
        <v>0</v>
      </c>
      <c r="I78" s="351">
        <f t="shared" si="13"/>
        <v>0</v>
      </c>
      <c r="J78" s="409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</row>
    <row r="79" spans="1:28" ht="12.75" customHeight="1">
      <c r="A79" s="303">
        <f t="shared" si="7"/>
        <v>315</v>
      </c>
      <c r="B79" s="304">
        <f t="shared" si="7"/>
        <v>0</v>
      </c>
      <c r="C79" s="252">
        <f>R14</f>
        <v>0.33341261478765949</v>
      </c>
      <c r="D79" s="306">
        <f t="shared" si="8"/>
        <v>0</v>
      </c>
      <c r="E79" s="306">
        <f t="shared" si="9"/>
        <v>0</v>
      </c>
      <c r="F79" s="351">
        <f t="shared" si="10"/>
        <v>0</v>
      </c>
      <c r="G79" s="410">
        <f t="shared" si="11"/>
        <v>0.16000000000000003</v>
      </c>
      <c r="H79" s="306">
        <f t="shared" si="12"/>
        <v>0</v>
      </c>
      <c r="I79" s="351">
        <f t="shared" si="13"/>
        <v>0</v>
      </c>
      <c r="J79" s="409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</row>
    <row r="80" spans="1:28" ht="13.5" customHeight="1">
      <c r="A80" s="322"/>
      <c r="B80" s="323"/>
      <c r="C80" s="411"/>
      <c r="D80" s="326"/>
      <c r="E80" s="326"/>
      <c r="F80" s="369"/>
      <c r="G80" s="412"/>
      <c r="H80" s="326"/>
      <c r="I80" s="369"/>
      <c r="J80" s="409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</row>
    <row r="81" spans="1:28" ht="13.5" customHeight="1">
      <c r="A81" s="328" t="s">
        <v>351</v>
      </c>
      <c r="B81" s="373"/>
      <c r="C81" s="374"/>
      <c r="D81" s="375">
        <f>SUM(D69:D80)</f>
        <v>1226.9337665634557</v>
      </c>
      <c r="E81" s="331">
        <f>SUM(E69:E80)</f>
        <v>32.391533408254681</v>
      </c>
      <c r="F81" s="332">
        <f>SUM(F69:F80)</f>
        <v>1373.7235681284815</v>
      </c>
      <c r="G81" s="413"/>
      <c r="H81" s="331">
        <f>SUM(H69:H80)</f>
        <v>819.48960000000011</v>
      </c>
      <c r="I81" s="332">
        <f>SUM(I69:I80)</f>
        <v>942.41304000000014</v>
      </c>
      <c r="J81" s="409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</row>
    <row r="82" spans="1:28" ht="13.5" customHeight="1">
      <c r="A82" s="414"/>
      <c r="B82" s="373"/>
      <c r="C82" s="415" t="s">
        <v>100</v>
      </c>
      <c r="D82" s="375"/>
      <c r="E82" s="331"/>
      <c r="F82" s="332"/>
      <c r="G82" s="416" t="s">
        <v>100</v>
      </c>
      <c r="H82" s="331"/>
      <c r="I82" s="332"/>
      <c r="J82" s="409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</row>
    <row r="83" spans="1:28" ht="12.75" customHeight="1">
      <c r="A83" s="417" t="s">
        <v>371</v>
      </c>
      <c r="B83" s="418"/>
      <c r="C83" s="419">
        <f>100%-C85</f>
        <v>0.65</v>
      </c>
      <c r="D83" s="297">
        <f>C83*D$81</f>
        <v>797.50694826624624</v>
      </c>
      <c r="E83" s="297">
        <f>C83/100*E$81</f>
        <v>0.21054496715365545</v>
      </c>
      <c r="F83" s="346">
        <f>(D83-E83)*(1+$B$7/100)</f>
        <v>916.89086379395644</v>
      </c>
      <c r="G83" s="420">
        <f>100%-G85</f>
        <v>0.65</v>
      </c>
      <c r="H83" s="297">
        <f>G83*H$81</f>
        <v>532.66824000000008</v>
      </c>
      <c r="I83" s="346">
        <f>H83*(1+$B$7/100)</f>
        <v>612.56847600000003</v>
      </c>
      <c r="J83" s="409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</row>
    <row r="84" spans="1:28" ht="12.75" customHeight="1">
      <c r="A84" s="421" t="s">
        <v>372</v>
      </c>
      <c r="B84" s="422"/>
      <c r="C84" s="423">
        <v>0</v>
      </c>
      <c r="D84" s="306">
        <f>C84*D$81</f>
        <v>0</v>
      </c>
      <c r="E84" s="306">
        <f>D84/100*E$81</f>
        <v>0</v>
      </c>
      <c r="F84" s="351">
        <f>(D84-E84)*(1+$B$7/100)</f>
        <v>0</v>
      </c>
      <c r="G84" s="424">
        <v>0</v>
      </c>
      <c r="H84" s="306">
        <f>G84*H$81</f>
        <v>0</v>
      </c>
      <c r="I84" s="351">
        <f>H84*(1+$B$7/100)</f>
        <v>0</v>
      </c>
      <c r="J84" s="409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</row>
    <row r="85" spans="1:28" ht="13.5" customHeight="1">
      <c r="A85" s="425" t="s">
        <v>373</v>
      </c>
      <c r="B85" s="426"/>
      <c r="C85" s="427">
        <f>C92+C91/2</f>
        <v>0.35</v>
      </c>
      <c r="D85" s="326">
        <f>C85*D$81</f>
        <v>429.42681829720948</v>
      </c>
      <c r="E85" s="326">
        <f>C85/100*E$81</f>
        <v>0.11337036692889137</v>
      </c>
      <c r="F85" s="369">
        <f>(D85-E85)*(1+$B$7/100)</f>
        <v>493.71046511982263</v>
      </c>
      <c r="G85" s="428">
        <f>C92+C91/2</f>
        <v>0.35</v>
      </c>
      <c r="H85" s="326">
        <f>G85*H$81</f>
        <v>286.82136000000003</v>
      </c>
      <c r="I85" s="369">
        <f>H85*(1+$B$7/100)</f>
        <v>329.84456399999999</v>
      </c>
      <c r="J85" s="409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</row>
    <row r="86" spans="1:28" ht="13.5" customHeight="1">
      <c r="A86" s="328" t="s">
        <v>374</v>
      </c>
      <c r="B86" s="429"/>
      <c r="C86" s="430">
        <f t="shared" ref="C86:I86" si="14">SUM(C83:C85)</f>
        <v>1</v>
      </c>
      <c r="D86" s="331">
        <f t="shared" si="14"/>
        <v>1226.9337665634557</v>
      </c>
      <c r="E86" s="331">
        <f t="shared" si="14"/>
        <v>0.3239153340825468</v>
      </c>
      <c r="F86" s="431">
        <f t="shared" si="14"/>
        <v>1410.6013289137791</v>
      </c>
      <c r="G86" s="430">
        <f t="shared" si="14"/>
        <v>1</v>
      </c>
      <c r="H86" s="331">
        <f t="shared" si="14"/>
        <v>819.48960000000011</v>
      </c>
      <c r="I86" s="332">
        <f t="shared" si="14"/>
        <v>942.41304000000002</v>
      </c>
      <c r="J86" s="409"/>
      <c r="K86" s="334">
        <f>F83+I83+F85+I85+F93</f>
        <v>2467.3187630231546</v>
      </c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</row>
    <row r="87" spans="1:28" ht="12.75" customHeight="1">
      <c r="A87" s="380"/>
      <c r="B87" s="381"/>
      <c r="C87" s="432"/>
      <c r="D87" s="382"/>
      <c r="E87" s="382"/>
      <c r="F87" s="383"/>
      <c r="G87" s="432"/>
      <c r="H87" s="382"/>
      <c r="I87" s="383"/>
      <c r="J87" s="272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</row>
    <row r="88" spans="1:28" ht="12.75" customHeight="1">
      <c r="A88" s="268" t="s">
        <v>375</v>
      </c>
      <c r="B88" s="269"/>
      <c r="C88" s="264"/>
      <c r="D88" s="271"/>
      <c r="E88" s="271"/>
      <c r="F88" s="272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</row>
    <row r="89" spans="1:28" ht="8.15" customHeight="1">
      <c r="A89" s="385"/>
      <c r="B89" s="275"/>
      <c r="C89" s="314"/>
      <c r="D89" s="277"/>
      <c r="E89" s="277"/>
      <c r="F89" s="278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</row>
    <row r="90" spans="1:28" ht="12.75" customHeight="1">
      <c r="A90" s="433"/>
      <c r="B90" s="418"/>
      <c r="C90" s="434" t="s">
        <v>100</v>
      </c>
      <c r="D90" s="435"/>
      <c r="E90" s="434" t="s">
        <v>202</v>
      </c>
      <c r="F90" s="436" t="s">
        <v>202</v>
      </c>
      <c r="G90" s="243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</row>
    <row r="91" spans="1:28" ht="12.75" customHeight="1">
      <c r="A91" s="421" t="s">
        <v>376</v>
      </c>
      <c r="B91" s="422"/>
      <c r="C91" s="423">
        <v>0.2</v>
      </c>
      <c r="D91" s="306"/>
      <c r="E91" s="306">
        <f>C91*F37</f>
        <v>865.23087768749974</v>
      </c>
      <c r="F91" s="351">
        <f>E91*(1+$B$7/100)</f>
        <v>995.01550934062459</v>
      </c>
      <c r="G91" s="243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</row>
    <row r="92" spans="1:28" ht="12.75" customHeight="1">
      <c r="A92" s="421" t="s">
        <v>377</v>
      </c>
      <c r="B92" s="422"/>
      <c r="C92" s="423">
        <v>0.25</v>
      </c>
      <c r="D92" s="306"/>
      <c r="E92" s="306">
        <f>C92*F37</f>
        <v>1081.5385971093747</v>
      </c>
      <c r="F92" s="351">
        <f>E92*(1+$B$7/100)</f>
        <v>1243.7693866757809</v>
      </c>
      <c r="G92" s="243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</row>
    <row r="93" spans="1:28" ht="12.75" customHeight="1">
      <c r="A93" s="421" t="s">
        <v>378</v>
      </c>
      <c r="B93" s="422"/>
      <c r="C93" s="423">
        <v>0.25</v>
      </c>
      <c r="D93" s="306"/>
      <c r="E93" s="306">
        <f>C93*F61</f>
        <v>99.395125312499985</v>
      </c>
      <c r="F93" s="351">
        <f>E93*(1+$B$7/100)</f>
        <v>114.30439410937497</v>
      </c>
      <c r="G93" s="243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</row>
    <row r="94" spans="1:28" ht="12.75" customHeight="1">
      <c r="A94" s="421" t="s">
        <v>379</v>
      </c>
      <c r="B94" s="437"/>
      <c r="C94" s="438"/>
      <c r="D94" s="439"/>
      <c r="E94" s="306"/>
      <c r="F94" s="351">
        <f>F62-F81-I81</f>
        <v>2407.5982815590169</v>
      </c>
      <c r="G94" s="243"/>
      <c r="H94" s="244"/>
      <c r="I94" s="244"/>
      <c r="J94" s="244"/>
      <c r="K94" s="244"/>
      <c r="L94" s="244"/>
      <c r="M94" s="334">
        <f>F94</f>
        <v>2407.5982815590169</v>
      </c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</row>
    <row r="95" spans="1:28" ht="12.75" customHeight="1">
      <c r="A95" s="421" t="s">
        <v>380</v>
      </c>
      <c r="B95" s="437"/>
      <c r="C95" s="438"/>
      <c r="D95" s="439"/>
      <c r="E95" s="306"/>
      <c r="F95" s="351">
        <f>F62-F83-I83-F91-F92</f>
        <v>955.49065387713608</v>
      </c>
      <c r="G95" s="243"/>
      <c r="H95" s="244"/>
      <c r="I95" s="440">
        <f>5.5*31</f>
        <v>170.5</v>
      </c>
      <c r="J95" s="244"/>
      <c r="K95" s="244"/>
      <c r="L95" s="244"/>
      <c r="M95" s="33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</row>
    <row r="96" spans="1:28" ht="12.75" customHeight="1">
      <c r="A96" s="421" t="s">
        <v>381</v>
      </c>
      <c r="B96" s="437"/>
      <c r="C96" s="438"/>
      <c r="D96" s="439"/>
      <c r="E96" s="306"/>
      <c r="F96" s="351">
        <f>IF(F95&lt;F94,F94-F95,0)</f>
        <v>1452.1076276818808</v>
      </c>
      <c r="G96" s="243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</row>
    <row r="97" spans="1:28" ht="13.5" customHeight="1">
      <c r="A97" s="425" t="s">
        <v>382</v>
      </c>
      <c r="B97" s="441"/>
      <c r="C97" s="442"/>
      <c r="D97" s="443"/>
      <c r="E97" s="326"/>
      <c r="F97" s="369">
        <f>F84+F85+I84+I85+F91+F92+F93</f>
        <v>3176.6443192456031</v>
      </c>
      <c r="G97" s="243"/>
      <c r="H97" s="244"/>
      <c r="I97" s="244"/>
      <c r="J97" s="244"/>
      <c r="K97" s="244"/>
      <c r="L97" s="244"/>
      <c r="M97" s="334">
        <f>SUM(K86:K96)</f>
        <v>2467.3187630231546</v>
      </c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</row>
    <row r="98" spans="1:28" ht="12.75" customHeight="1">
      <c r="A98" s="444" t="s">
        <v>383</v>
      </c>
      <c r="B98" s="265"/>
      <c r="C98" s="265"/>
      <c r="D98" s="265"/>
      <c r="E98" s="265"/>
      <c r="F98" s="265"/>
      <c r="G98" s="244"/>
      <c r="H98" s="244"/>
      <c r="I98" s="244"/>
      <c r="J98" s="244"/>
      <c r="K98" s="244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</row>
  </sheetData>
  <mergeCells count="21">
    <mergeCell ref="B4:C4"/>
    <mergeCell ref="X3:Y3"/>
    <mergeCell ref="R4:S4"/>
    <mergeCell ref="A1:C1"/>
    <mergeCell ref="L3:M3"/>
    <mergeCell ref="Q1:S1"/>
    <mergeCell ref="B3:C3"/>
    <mergeCell ref="N1:P1"/>
    <mergeCell ref="R3:S3"/>
    <mergeCell ref="AA4:AB4"/>
    <mergeCell ref="X4:Y4"/>
    <mergeCell ref="Z1:AB1"/>
    <mergeCell ref="K1:M1"/>
    <mergeCell ref="O3:P3"/>
    <mergeCell ref="U3:V3"/>
    <mergeCell ref="O4:P4"/>
    <mergeCell ref="L4:M4"/>
    <mergeCell ref="W1:Y1"/>
    <mergeCell ref="AA3:AB3"/>
    <mergeCell ref="U4:V4"/>
    <mergeCell ref="T1:V1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445" customWidth="1"/>
    <col min="2" max="2" width="9.7265625" style="445" customWidth="1"/>
    <col min="3" max="3" width="14.7265625" style="445" customWidth="1"/>
    <col min="4" max="5" width="12.7265625" style="445" customWidth="1"/>
    <col min="6" max="6" width="9.7265625" style="445" customWidth="1"/>
    <col min="7" max="7" width="11.7265625" style="445" customWidth="1"/>
    <col min="8" max="8" width="12.7265625" style="445" customWidth="1"/>
    <col min="9" max="9" width="12" style="445" customWidth="1"/>
    <col min="10" max="10" width="9.7265625" style="445" customWidth="1"/>
    <col min="11" max="11" width="25.453125" style="445" customWidth="1"/>
    <col min="12" max="12" width="9.7265625" style="445" customWidth="1"/>
    <col min="13" max="13" width="14.7265625" style="445" customWidth="1"/>
    <col min="14" max="14" width="25.453125" style="445" customWidth="1"/>
    <col min="15" max="15" width="9.7265625" style="445" customWidth="1"/>
    <col min="16" max="16" width="10.7265625" style="445" customWidth="1"/>
    <col min="17" max="17" width="25.453125" style="445" customWidth="1"/>
    <col min="18" max="18" width="9.7265625" style="445" customWidth="1"/>
    <col min="19" max="19" width="14.7265625" style="445" customWidth="1"/>
    <col min="20" max="20" width="25.453125" style="445" customWidth="1"/>
    <col min="21" max="21" width="9.7265625" style="445" customWidth="1"/>
    <col min="22" max="22" width="14.7265625" style="445" customWidth="1"/>
    <col min="23" max="23" width="25.453125" style="445" customWidth="1"/>
    <col min="24" max="24" width="9.7265625" style="445" customWidth="1"/>
    <col min="25" max="25" width="14.7265625" style="445" customWidth="1"/>
    <col min="26" max="26" width="25.453125" style="445" customWidth="1"/>
    <col min="27" max="27" width="9.7265625" style="445" customWidth="1"/>
    <col min="28" max="28" width="14.7265625" style="445" customWidth="1"/>
    <col min="29" max="29" width="9.7265625" style="445" customWidth="1"/>
    <col min="30" max="16384" width="9.7265625" style="445"/>
  </cols>
  <sheetData>
    <row r="1" spans="1:28" ht="18" customHeight="1">
      <c r="A1" s="478" t="s">
        <v>315</v>
      </c>
      <c r="B1" s="479"/>
      <c r="C1" s="480"/>
      <c r="D1" s="243"/>
      <c r="E1" s="244"/>
      <c r="F1" s="244"/>
      <c r="G1" s="244"/>
      <c r="H1" s="244"/>
      <c r="I1" s="244"/>
      <c r="J1" s="245"/>
      <c r="K1" s="478" t="s">
        <v>315</v>
      </c>
      <c r="L1" s="479"/>
      <c r="M1" s="480"/>
      <c r="N1" s="478" t="s">
        <v>315</v>
      </c>
      <c r="O1" s="479"/>
      <c r="P1" s="480"/>
      <c r="Q1" s="478" t="s">
        <v>315</v>
      </c>
      <c r="R1" s="479"/>
      <c r="S1" s="480"/>
      <c r="T1" s="478" t="s">
        <v>315</v>
      </c>
      <c r="U1" s="479"/>
      <c r="V1" s="480"/>
      <c r="W1" s="478" t="s">
        <v>315</v>
      </c>
      <c r="X1" s="479"/>
      <c r="Y1" s="480"/>
      <c r="Z1" s="478" t="s">
        <v>315</v>
      </c>
      <c r="AA1" s="479"/>
      <c r="AB1" s="480"/>
    </row>
    <row r="2" spans="1:28" ht="13.5" customHeight="1">
      <c r="A2" s="246">
        <v>110</v>
      </c>
      <c r="B2" s="247" t="s">
        <v>316</v>
      </c>
      <c r="C2" s="248"/>
      <c r="D2" s="243"/>
      <c r="E2" s="244"/>
      <c r="F2" s="244"/>
      <c r="G2" s="244"/>
      <c r="H2" s="244"/>
      <c r="I2" s="244"/>
      <c r="J2" s="245"/>
      <c r="K2" s="246">
        <v>160</v>
      </c>
      <c r="L2" s="247" t="s">
        <v>316</v>
      </c>
      <c r="M2" s="248"/>
      <c r="N2" s="246">
        <v>200</v>
      </c>
      <c r="O2" s="247" t="s">
        <v>317</v>
      </c>
      <c r="P2" s="248"/>
      <c r="Q2" s="246">
        <v>250</v>
      </c>
      <c r="R2" s="247" t="s">
        <v>316</v>
      </c>
      <c r="S2" s="248"/>
      <c r="T2" s="246">
        <v>315</v>
      </c>
      <c r="U2" s="247" t="s">
        <v>316</v>
      </c>
      <c r="V2" s="248"/>
      <c r="W2" s="246">
        <v>355</v>
      </c>
      <c r="X2" s="247" t="s">
        <v>316</v>
      </c>
      <c r="Y2" s="248"/>
      <c r="Z2" s="246">
        <v>400</v>
      </c>
      <c r="AA2" s="247" t="s">
        <v>316</v>
      </c>
      <c r="AB2" s="248"/>
    </row>
    <row r="3" spans="1:28" ht="12.75" customHeight="1">
      <c r="A3" s="249" t="s">
        <v>318</v>
      </c>
      <c r="B3" s="481" t="s">
        <v>319</v>
      </c>
      <c r="C3" s="482"/>
      <c r="D3" s="243"/>
      <c r="E3" s="244"/>
      <c r="F3" s="244"/>
      <c r="G3" s="244"/>
      <c r="H3" s="244"/>
      <c r="I3" s="244"/>
      <c r="J3" s="245"/>
      <c r="K3" s="249" t="s">
        <v>318</v>
      </c>
      <c r="L3" s="481" t="str">
        <f>$B$3</f>
        <v>ABC</v>
      </c>
      <c r="M3" s="482"/>
      <c r="N3" s="249" t="s">
        <v>318</v>
      </c>
      <c r="O3" s="481" t="str">
        <f>$B$3</f>
        <v>ABC</v>
      </c>
      <c r="P3" s="482"/>
      <c r="Q3" s="249" t="s">
        <v>318</v>
      </c>
      <c r="R3" s="481" t="str">
        <f>$B$3</f>
        <v>ABC</v>
      </c>
      <c r="S3" s="482"/>
      <c r="T3" s="249" t="s">
        <v>318</v>
      </c>
      <c r="U3" s="481" t="str">
        <f>$B$3</f>
        <v>ABC</v>
      </c>
      <c r="V3" s="482"/>
      <c r="W3" s="249" t="s">
        <v>318</v>
      </c>
      <c r="X3" s="481" t="str">
        <f>$B$3</f>
        <v>ABC</v>
      </c>
      <c r="Y3" s="482"/>
      <c r="Z3" s="249" t="s">
        <v>318</v>
      </c>
      <c r="AA3" s="481" t="str">
        <f>$B$3</f>
        <v>ABC</v>
      </c>
      <c r="AB3" s="482"/>
    </row>
    <row r="4" spans="1:28" ht="12.75" customHeight="1">
      <c r="A4" s="250" t="s">
        <v>320</v>
      </c>
      <c r="B4" s="476" t="s">
        <v>321</v>
      </c>
      <c r="C4" s="477"/>
      <c r="D4" s="243"/>
      <c r="E4" s="244"/>
      <c r="F4" s="244"/>
      <c r="G4" s="244"/>
      <c r="H4" s="244"/>
      <c r="I4" s="244"/>
      <c r="J4" s="245"/>
      <c r="K4" s="250" t="s">
        <v>320</v>
      </c>
      <c r="L4" s="476" t="str">
        <f>$B$4</f>
        <v>0000</v>
      </c>
      <c r="M4" s="477"/>
      <c r="N4" s="250" t="s">
        <v>320</v>
      </c>
      <c r="O4" s="476" t="str">
        <f>$B$4</f>
        <v>0000</v>
      </c>
      <c r="P4" s="477"/>
      <c r="Q4" s="250" t="s">
        <v>320</v>
      </c>
      <c r="R4" s="476" t="str">
        <f>$B$4</f>
        <v>0000</v>
      </c>
      <c r="S4" s="477"/>
      <c r="T4" s="250" t="s">
        <v>320</v>
      </c>
      <c r="U4" s="476" t="str">
        <f>$B$4</f>
        <v>0000</v>
      </c>
      <c r="V4" s="477"/>
      <c r="W4" s="250" t="s">
        <v>320</v>
      </c>
      <c r="X4" s="476" t="str">
        <f>$B$4</f>
        <v>0000</v>
      </c>
      <c r="Y4" s="477"/>
      <c r="Z4" s="250" t="s">
        <v>320</v>
      </c>
      <c r="AA4" s="476" t="str">
        <f>$B$4</f>
        <v>0000</v>
      </c>
      <c r="AB4" s="477"/>
    </row>
    <row r="5" spans="1:28" ht="12.75" customHeight="1">
      <c r="A5" s="251" t="s">
        <v>322</v>
      </c>
      <c r="B5" s="252">
        <f>A69/1000</f>
        <v>7.4999999999999997E-2</v>
      </c>
      <c r="C5" s="253" t="s">
        <v>179</v>
      </c>
      <c r="D5" s="254"/>
      <c r="E5" s="244"/>
      <c r="F5" s="244"/>
      <c r="G5" s="244"/>
      <c r="H5" s="244"/>
      <c r="I5" s="244"/>
      <c r="J5" s="245"/>
      <c r="K5" s="251" t="s">
        <v>322</v>
      </c>
      <c r="L5" s="255">
        <f>K2/1000</f>
        <v>0.16</v>
      </c>
      <c r="M5" s="253" t="s">
        <v>179</v>
      </c>
      <c r="N5" s="251" t="s">
        <v>322</v>
      </c>
      <c r="O5" s="255">
        <f>N2/1000</f>
        <v>0.2</v>
      </c>
      <c r="P5" s="253" t="s">
        <v>179</v>
      </c>
      <c r="Q5" s="251" t="s">
        <v>322</v>
      </c>
      <c r="R5" s="255">
        <f>Q2/1000</f>
        <v>0.25</v>
      </c>
      <c r="S5" s="253" t="s">
        <v>179</v>
      </c>
      <c r="T5" s="251" t="s">
        <v>322</v>
      </c>
      <c r="U5" s="255">
        <f>T2/1000</f>
        <v>0.315</v>
      </c>
      <c r="V5" s="253" t="s">
        <v>179</v>
      </c>
      <c r="W5" s="251" t="s">
        <v>322</v>
      </c>
      <c r="X5" s="255">
        <f>W2/1000</f>
        <v>0.35499999999999998</v>
      </c>
      <c r="Y5" s="253" t="s">
        <v>179</v>
      </c>
      <c r="Z5" s="251" t="s">
        <v>322</v>
      </c>
      <c r="AA5" s="255">
        <f>Z2/1000</f>
        <v>0.4</v>
      </c>
      <c r="AB5" s="253" t="s">
        <v>179</v>
      </c>
    </row>
    <row r="6" spans="1:28" ht="12.75" customHeight="1">
      <c r="A6" s="251" t="s">
        <v>323</v>
      </c>
      <c r="B6" s="252">
        <f>B5-0.0044</f>
        <v>7.0599999999999996E-2</v>
      </c>
      <c r="C6" s="253" t="s">
        <v>179</v>
      </c>
      <c r="D6" s="254"/>
      <c r="E6" s="244"/>
      <c r="F6" s="244"/>
      <c r="G6" s="244"/>
      <c r="H6" s="244"/>
      <c r="I6" s="244"/>
      <c r="J6" s="245"/>
      <c r="K6" s="251" t="s">
        <v>323</v>
      </c>
      <c r="L6" s="255">
        <f>L5-0.0064</f>
        <v>0.15360000000000001</v>
      </c>
      <c r="M6" s="253" t="s">
        <v>179</v>
      </c>
      <c r="N6" s="251" t="s">
        <v>323</v>
      </c>
      <c r="O6" s="255">
        <f>O5-0.0078</f>
        <v>0.19220000000000001</v>
      </c>
      <c r="P6" s="253" t="s">
        <v>179</v>
      </c>
      <c r="Q6" s="251" t="s">
        <v>323</v>
      </c>
      <c r="R6" s="255">
        <f>R5-0.01</f>
        <v>0.24</v>
      </c>
      <c r="S6" s="253" t="s">
        <v>179</v>
      </c>
      <c r="T6" s="251" t="s">
        <v>323</v>
      </c>
      <c r="U6" s="255">
        <f>U5-0.0124</f>
        <v>0.30259999999999998</v>
      </c>
      <c r="V6" s="253" t="s">
        <v>179</v>
      </c>
      <c r="W6" s="251" t="s">
        <v>323</v>
      </c>
      <c r="X6" s="255">
        <f>X5-0.014</f>
        <v>0.34099999999999997</v>
      </c>
      <c r="Y6" s="253" t="s">
        <v>179</v>
      </c>
      <c r="Z6" s="251" t="s">
        <v>323</v>
      </c>
      <c r="AA6" s="255">
        <f>AA5-0.0158</f>
        <v>0.38420000000000004</v>
      </c>
      <c r="AB6" s="253" t="s">
        <v>179</v>
      </c>
    </row>
    <row r="7" spans="1:28" ht="12.75" customHeight="1">
      <c r="A7" s="251" t="s">
        <v>324</v>
      </c>
      <c r="B7" s="256">
        <v>15</v>
      </c>
      <c r="C7" s="257" t="s">
        <v>100</v>
      </c>
      <c r="D7" s="254"/>
      <c r="E7" s="244"/>
      <c r="F7" s="244"/>
      <c r="G7" s="244"/>
      <c r="H7" s="244"/>
      <c r="I7" s="244"/>
      <c r="J7" s="245"/>
      <c r="K7" s="251" t="s">
        <v>324</v>
      </c>
      <c r="L7" s="256">
        <f>$B$7</f>
        <v>15</v>
      </c>
      <c r="M7" s="257" t="s">
        <v>100</v>
      </c>
      <c r="N7" s="251" t="s">
        <v>324</v>
      </c>
      <c r="O7" s="256">
        <f>$B$7</f>
        <v>15</v>
      </c>
      <c r="P7" s="257" t="s">
        <v>100</v>
      </c>
      <c r="Q7" s="251" t="s">
        <v>324</v>
      </c>
      <c r="R7" s="256">
        <f>$B$7</f>
        <v>15</v>
      </c>
      <c r="S7" s="257" t="s">
        <v>100</v>
      </c>
      <c r="T7" s="251" t="s">
        <v>324</v>
      </c>
      <c r="U7" s="256">
        <f>$B$7</f>
        <v>15</v>
      </c>
      <c r="V7" s="257" t="s">
        <v>100</v>
      </c>
      <c r="W7" s="251" t="s">
        <v>324</v>
      </c>
      <c r="X7" s="256">
        <f>$B$7</f>
        <v>15</v>
      </c>
      <c r="Y7" s="257" t="s">
        <v>100</v>
      </c>
      <c r="Z7" s="251" t="s">
        <v>324</v>
      </c>
      <c r="AA7" s="256">
        <f>$B$7</f>
        <v>15</v>
      </c>
      <c r="AB7" s="257" t="s">
        <v>100</v>
      </c>
    </row>
    <row r="8" spans="1:28" ht="12.75" customHeight="1">
      <c r="A8" s="251" t="s">
        <v>325</v>
      </c>
      <c r="B8" s="258">
        <f>IF(B5&lt;0.401,0.1,IF(B5&lt;0.801,B5/4,0.2))</f>
        <v>0.1</v>
      </c>
      <c r="C8" s="253" t="s">
        <v>179</v>
      </c>
      <c r="D8" s="254"/>
      <c r="E8" s="244"/>
      <c r="F8" s="244"/>
      <c r="G8" s="244"/>
      <c r="H8" s="244"/>
      <c r="I8" s="244"/>
      <c r="J8" s="245"/>
      <c r="K8" s="251" t="s">
        <v>325</v>
      </c>
      <c r="L8" s="258">
        <f>IF(L5&lt;0.401,0.1,IF(L5&lt;0.801,L5/4,0.2))</f>
        <v>0.1</v>
      </c>
      <c r="M8" s="253" t="s">
        <v>179</v>
      </c>
      <c r="N8" s="251" t="s">
        <v>325</v>
      </c>
      <c r="O8" s="258">
        <f>IF(O5&lt;0.401,0.1,IF(O5&lt;0.801,O5/4,0.2))</f>
        <v>0.1</v>
      </c>
      <c r="P8" s="253" t="s">
        <v>179</v>
      </c>
      <c r="Q8" s="251" t="s">
        <v>325</v>
      </c>
      <c r="R8" s="258">
        <f>IF(R5&lt;0.401,0.1,IF(R5&lt;0.801,R5/4,0.2))</f>
        <v>0.1</v>
      </c>
      <c r="S8" s="253" t="s">
        <v>179</v>
      </c>
      <c r="T8" s="251" t="s">
        <v>325</v>
      </c>
      <c r="U8" s="258">
        <f>IF(U5&lt;0.401,0.1,IF(U5&lt;0.801,U5/4,0.2))</f>
        <v>0.1</v>
      </c>
      <c r="V8" s="253" t="s">
        <v>179</v>
      </c>
      <c r="W8" s="251" t="s">
        <v>325</v>
      </c>
      <c r="X8" s="258">
        <f>IF(X5&lt;0.401,0.1,IF(X5&lt;0.801,X5/4,0.2))</f>
        <v>0.1</v>
      </c>
      <c r="Y8" s="253" t="s">
        <v>179</v>
      </c>
      <c r="Z8" s="251" t="s">
        <v>325</v>
      </c>
      <c r="AA8" s="258">
        <f>IF(AA5&lt;0.401,0.1,IF(AA5&lt;0.801,AA5/4,0.2))</f>
        <v>0.1</v>
      </c>
      <c r="AB8" s="253" t="s">
        <v>179</v>
      </c>
    </row>
    <row r="9" spans="1:28" ht="12.75" customHeight="1">
      <c r="A9" s="251" t="s">
        <v>326</v>
      </c>
      <c r="B9" s="258">
        <v>0.1</v>
      </c>
      <c r="C9" s="253" t="s">
        <v>179</v>
      </c>
      <c r="D9" s="254"/>
      <c r="E9" s="244"/>
      <c r="F9" s="244"/>
      <c r="G9" s="244"/>
      <c r="H9" s="244"/>
      <c r="I9" s="244"/>
      <c r="J9" s="245"/>
      <c r="K9" s="251" t="s">
        <v>326</v>
      </c>
      <c r="L9" s="258">
        <v>0.1</v>
      </c>
      <c r="M9" s="253" t="s">
        <v>179</v>
      </c>
      <c r="N9" s="251" t="s">
        <v>326</v>
      </c>
      <c r="O9" s="258">
        <v>0.1</v>
      </c>
      <c r="P9" s="253" t="s">
        <v>179</v>
      </c>
      <c r="Q9" s="251" t="s">
        <v>326</v>
      </c>
      <c r="R9" s="258">
        <v>0.1</v>
      </c>
      <c r="S9" s="253" t="s">
        <v>179</v>
      </c>
      <c r="T9" s="251" t="s">
        <v>326</v>
      </c>
      <c r="U9" s="258">
        <v>0.1</v>
      </c>
      <c r="V9" s="253" t="s">
        <v>179</v>
      </c>
      <c r="W9" s="251" t="s">
        <v>326</v>
      </c>
      <c r="X9" s="258">
        <v>0.1</v>
      </c>
      <c r="Y9" s="253" t="s">
        <v>179</v>
      </c>
      <c r="Z9" s="251" t="s">
        <v>326</v>
      </c>
      <c r="AA9" s="258">
        <v>0.1</v>
      </c>
      <c r="AB9" s="253" t="s">
        <v>179</v>
      </c>
    </row>
    <row r="10" spans="1:28" ht="12.75" customHeight="1">
      <c r="A10" s="251" t="s">
        <v>327</v>
      </c>
      <c r="B10" s="258">
        <f>B9+B8+B5</f>
        <v>0.27500000000000002</v>
      </c>
      <c r="C10" s="253" t="s">
        <v>179</v>
      </c>
      <c r="D10" s="254"/>
      <c r="E10" s="244"/>
      <c r="F10" s="244"/>
      <c r="G10" s="244"/>
      <c r="H10" s="244"/>
      <c r="I10" s="244"/>
      <c r="J10" s="245"/>
      <c r="K10" s="251" t="s">
        <v>327</v>
      </c>
      <c r="L10" s="258">
        <f>L9+L8+L5</f>
        <v>0.36</v>
      </c>
      <c r="M10" s="253" t="s">
        <v>179</v>
      </c>
      <c r="N10" s="251" t="s">
        <v>327</v>
      </c>
      <c r="O10" s="258">
        <f>O9+O8+O5</f>
        <v>0.4</v>
      </c>
      <c r="P10" s="253" t="s">
        <v>179</v>
      </c>
      <c r="Q10" s="251" t="s">
        <v>327</v>
      </c>
      <c r="R10" s="258">
        <f>R9+R8+R5</f>
        <v>0.45</v>
      </c>
      <c r="S10" s="253" t="s">
        <v>179</v>
      </c>
      <c r="T10" s="251" t="s">
        <v>327</v>
      </c>
      <c r="U10" s="258">
        <f>U9+U8+U5</f>
        <v>0.51500000000000001</v>
      </c>
      <c r="V10" s="253" t="s">
        <v>179</v>
      </c>
      <c r="W10" s="251" t="s">
        <v>327</v>
      </c>
      <c r="X10" s="258">
        <f>X9+X8+X5</f>
        <v>0.55499999999999994</v>
      </c>
      <c r="Y10" s="253" t="s">
        <v>179</v>
      </c>
      <c r="Z10" s="251" t="s">
        <v>327</v>
      </c>
      <c r="AA10" s="258">
        <f>AA9+AA8+AA5</f>
        <v>0.60000000000000009</v>
      </c>
      <c r="AB10" s="253" t="s">
        <v>179</v>
      </c>
    </row>
    <row r="11" spans="1:28" ht="12.75" customHeight="1">
      <c r="A11" s="251" t="s">
        <v>328</v>
      </c>
      <c r="B11" s="258">
        <v>0.2</v>
      </c>
      <c r="C11" s="253" t="s">
        <v>179</v>
      </c>
      <c r="D11" s="254"/>
      <c r="E11" s="244"/>
      <c r="F11" s="244"/>
      <c r="G11" s="244"/>
      <c r="H11" s="244"/>
      <c r="I11" s="244"/>
      <c r="J11" s="245"/>
      <c r="K11" s="251" t="s">
        <v>328</v>
      </c>
      <c r="L11" s="258">
        <v>0.2</v>
      </c>
      <c r="M11" s="253" t="s">
        <v>179</v>
      </c>
      <c r="N11" s="251" t="s">
        <v>328</v>
      </c>
      <c r="O11" s="258">
        <v>0.2</v>
      </c>
      <c r="P11" s="253" t="s">
        <v>179</v>
      </c>
      <c r="Q11" s="251" t="s">
        <v>328</v>
      </c>
      <c r="R11" s="258">
        <v>0.2</v>
      </c>
      <c r="S11" s="253" t="s">
        <v>179</v>
      </c>
      <c r="T11" s="251" t="s">
        <v>328</v>
      </c>
      <c r="U11" s="258">
        <v>0.2</v>
      </c>
      <c r="V11" s="253" t="s">
        <v>179</v>
      </c>
      <c r="W11" s="251" t="s">
        <v>328</v>
      </c>
      <c r="X11" s="258">
        <v>0.2</v>
      </c>
      <c r="Y11" s="253" t="s">
        <v>179</v>
      </c>
      <c r="Z11" s="251" t="s">
        <v>328</v>
      </c>
      <c r="AA11" s="258">
        <v>0.2</v>
      </c>
      <c r="AB11" s="253" t="s">
        <v>179</v>
      </c>
    </row>
    <row r="12" spans="1:28" ht="12.75" customHeight="1">
      <c r="A12" s="251" t="s">
        <v>329</v>
      </c>
      <c r="B12" s="258">
        <f>IF(B5&lt;0.701,B5+0.6,IF(B5&lt;1.001,B5+0.8,IF(B5&lt;2.001,B5+1,B5+1.2)))</f>
        <v>0.67499999999999993</v>
      </c>
      <c r="C12" s="253" t="s">
        <v>179</v>
      </c>
      <c r="D12" s="254"/>
      <c r="E12" s="244"/>
      <c r="F12" s="244"/>
      <c r="G12" s="244"/>
      <c r="H12" s="244"/>
      <c r="I12" s="244"/>
      <c r="J12" s="245"/>
      <c r="K12" s="251" t="s">
        <v>329</v>
      </c>
      <c r="L12" s="258">
        <f>IF(L5&lt;0.701,L5+0.6,IF(L5&lt;1.001,L5+0.8,IF(L5&lt;2.001,L5+1,L5+1.2)))</f>
        <v>0.76</v>
      </c>
      <c r="M12" s="253" t="s">
        <v>179</v>
      </c>
      <c r="N12" s="251" t="s">
        <v>329</v>
      </c>
      <c r="O12" s="258">
        <f>IF(O5&lt;0.701,O5+0.6,IF(O5&lt;1.001,O5+0.8,IF(O5&lt;2.001,O5+1,O5+1.2)))</f>
        <v>0.8</v>
      </c>
      <c r="P12" s="253" t="s">
        <v>179</v>
      </c>
      <c r="Q12" s="251" t="s">
        <v>329</v>
      </c>
      <c r="R12" s="258">
        <f>IF(R5&lt;0.701,R5+0.6,IF(R5&lt;1.001,R5+0.8,IF(R5&lt;2.001,R5+1,R5+1.2)))</f>
        <v>0.85</v>
      </c>
      <c r="S12" s="253" t="s">
        <v>179</v>
      </c>
      <c r="T12" s="251" t="s">
        <v>329</v>
      </c>
      <c r="U12" s="258">
        <f>IF(U5&lt;0.701,U5+0.6,IF(U5&lt;1.001,U5+0.8,IF(U5&lt;2.001,U5+1,U5+1.2)))</f>
        <v>0.91500000000000004</v>
      </c>
      <c r="V12" s="253" t="s">
        <v>179</v>
      </c>
      <c r="W12" s="251" t="s">
        <v>329</v>
      </c>
      <c r="X12" s="258">
        <f>IF(X5&lt;0.701,X5+0.6,IF(X5&lt;1.001,X5+0.8,IF(X5&lt;2.001,X5+1,X5+1.2)))</f>
        <v>0.95499999999999996</v>
      </c>
      <c r="Y12" s="253" t="s">
        <v>179</v>
      </c>
      <c r="Z12" s="251" t="s">
        <v>329</v>
      </c>
      <c r="AA12" s="258">
        <f>IF(AA5&lt;0.701,AA5+0.6,IF(AA5&lt;1.001,AA5+0.8,IF(AA5&lt;2.001,AA5+1,AA5+1.2)))</f>
        <v>1</v>
      </c>
      <c r="AB12" s="253" t="s">
        <v>179</v>
      </c>
    </row>
    <row r="13" spans="1:28" ht="12.75" customHeight="1">
      <c r="A13" s="251" t="s">
        <v>330</v>
      </c>
      <c r="B13" s="259">
        <f>B12*B11</f>
        <v>0.13499999999999998</v>
      </c>
      <c r="C13" s="253" t="s">
        <v>331</v>
      </c>
      <c r="D13" s="254"/>
      <c r="E13" s="244"/>
      <c r="F13" s="244"/>
      <c r="G13" s="244"/>
      <c r="H13" s="244"/>
      <c r="I13" s="244"/>
      <c r="J13" s="245"/>
      <c r="K13" s="251" t="s">
        <v>330</v>
      </c>
      <c r="L13" s="259">
        <f>L12*L11</f>
        <v>0.15200000000000002</v>
      </c>
      <c r="M13" s="253" t="s">
        <v>331</v>
      </c>
      <c r="N13" s="251" t="s">
        <v>330</v>
      </c>
      <c r="O13" s="259">
        <f>O12*O11</f>
        <v>0.16000000000000003</v>
      </c>
      <c r="P13" s="253" t="s">
        <v>331</v>
      </c>
      <c r="Q13" s="251" t="s">
        <v>330</v>
      </c>
      <c r="R13" s="259">
        <f>R12*R11</f>
        <v>0.17</v>
      </c>
      <c r="S13" s="253" t="s">
        <v>331</v>
      </c>
      <c r="T13" s="251" t="s">
        <v>330</v>
      </c>
      <c r="U13" s="259">
        <f>U12*U11</f>
        <v>0.18300000000000002</v>
      </c>
      <c r="V13" s="253" t="s">
        <v>331</v>
      </c>
      <c r="W13" s="251" t="s">
        <v>330</v>
      </c>
      <c r="X13" s="259">
        <f>X12*X11</f>
        <v>0.191</v>
      </c>
      <c r="Y13" s="253" t="s">
        <v>331</v>
      </c>
      <c r="Z13" s="251" t="s">
        <v>330</v>
      </c>
      <c r="AA13" s="259">
        <f>AA12*AA11</f>
        <v>0.2</v>
      </c>
      <c r="AB13" s="253" t="s">
        <v>331</v>
      </c>
    </row>
    <row r="14" spans="1:28" ht="13.5" customHeight="1">
      <c r="A14" s="260" t="s">
        <v>332</v>
      </c>
      <c r="B14" s="261">
        <f>B12*B10-(PI()*B5^2)/4</f>
        <v>0.18120713533088934</v>
      </c>
      <c r="C14" s="262" t="s">
        <v>331</v>
      </c>
      <c r="D14" s="254"/>
      <c r="E14" s="244"/>
      <c r="F14" s="244"/>
      <c r="G14" s="244"/>
      <c r="H14" s="244"/>
      <c r="I14" s="244"/>
      <c r="J14" s="245"/>
      <c r="K14" s="260" t="s">
        <v>332</v>
      </c>
      <c r="L14" s="261">
        <f>L12*L10-(PI()*L5^2)/4</f>
        <v>0.25349380701702534</v>
      </c>
      <c r="M14" s="262" t="s">
        <v>331</v>
      </c>
      <c r="N14" s="260" t="s">
        <v>332</v>
      </c>
      <c r="O14" s="261">
        <f>O12*O10-(PI()*O5^2)/4</f>
        <v>0.28858407346410214</v>
      </c>
      <c r="P14" s="262" t="s">
        <v>331</v>
      </c>
      <c r="Q14" s="260" t="s">
        <v>332</v>
      </c>
      <c r="R14" s="261">
        <f>R12*R10-(PI()*R5^2)/4</f>
        <v>0.33341261478765949</v>
      </c>
      <c r="S14" s="262" t="s">
        <v>331</v>
      </c>
      <c r="T14" s="260" t="s">
        <v>332</v>
      </c>
      <c r="U14" s="261">
        <f>U12*U10-(PI()*U5^2)/4</f>
        <v>0.39329386723688819</v>
      </c>
      <c r="V14" s="262" t="s">
        <v>331</v>
      </c>
      <c r="W14" s="260" t="s">
        <v>332</v>
      </c>
      <c r="X14" s="261">
        <f>X12*X10-(PI()*X5^2)/4</f>
        <v>0.43104519645783657</v>
      </c>
      <c r="Y14" s="262" t="s">
        <v>331</v>
      </c>
      <c r="Z14" s="260" t="s">
        <v>332</v>
      </c>
      <c r="AA14" s="261">
        <f>AA12*AA10-(PI()*AA5^2)/4</f>
        <v>0.47433629385640835</v>
      </c>
      <c r="AB14" s="262" t="s">
        <v>331</v>
      </c>
    </row>
    <row r="15" spans="1:28" ht="12.75" customHeight="1">
      <c r="A15" s="263"/>
      <c r="B15" s="263"/>
      <c r="C15" s="263"/>
      <c r="D15" s="264"/>
      <c r="E15" s="244"/>
      <c r="F15" s="264"/>
      <c r="G15" s="264"/>
      <c r="H15" s="244"/>
      <c r="I15" s="244"/>
      <c r="J15" s="24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</row>
    <row r="16" spans="1:28" ht="12.75" customHeight="1">
      <c r="A16" s="264"/>
      <c r="B16" s="264"/>
      <c r="C16" s="264"/>
      <c r="D16" s="264"/>
      <c r="E16" s="244"/>
      <c r="F16" s="264"/>
      <c r="G16" s="26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</row>
    <row r="17" spans="1:28" ht="12.75" customHeight="1">
      <c r="A17" s="266"/>
      <c r="B17" s="266"/>
      <c r="C17" s="244"/>
      <c r="D17" s="266"/>
      <c r="E17" s="267"/>
      <c r="F17" s="266"/>
      <c r="G17" s="267"/>
      <c r="H17" s="267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</row>
    <row r="18" spans="1:28" ht="12.75" customHeight="1">
      <c r="A18" s="244"/>
      <c r="B18" s="244"/>
      <c r="C18" s="244"/>
      <c r="D18" s="266"/>
      <c r="E18" s="267"/>
      <c r="F18" s="266"/>
      <c r="G18" s="267"/>
      <c r="H18" s="267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</row>
    <row r="19" spans="1:28" ht="12.75" customHeight="1">
      <c r="A19" s="244"/>
      <c r="B19" s="244"/>
      <c r="C19" s="244"/>
      <c r="D19" s="266"/>
      <c r="E19" s="267"/>
      <c r="F19" s="266"/>
      <c r="G19" s="267"/>
      <c r="H19" s="267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</row>
    <row r="20" spans="1:28" ht="12.75" customHeight="1">
      <c r="A20" s="244"/>
      <c r="B20" s="244"/>
      <c r="C20" s="244"/>
      <c r="D20" s="266"/>
      <c r="E20" s="267"/>
      <c r="F20" s="266"/>
      <c r="G20" s="267"/>
      <c r="H20" s="267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</row>
    <row r="21" spans="1:28" ht="12.75" customHeight="1">
      <c r="A21" s="268" t="s">
        <v>333</v>
      </c>
      <c r="B21" s="269"/>
      <c r="C21" s="270"/>
      <c r="D21" s="271"/>
      <c r="E21" s="272"/>
      <c r="F21" s="270"/>
      <c r="G21" s="244"/>
      <c r="H21" s="268" t="s">
        <v>334</v>
      </c>
      <c r="I21" s="244"/>
      <c r="J21" s="244"/>
      <c r="K21" s="244"/>
      <c r="L21" s="273">
        <v>930</v>
      </c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</row>
    <row r="22" spans="1:28" ht="8.15" customHeight="1">
      <c r="A22" s="274"/>
      <c r="B22" s="275"/>
      <c r="C22" s="276"/>
      <c r="D22" s="277"/>
      <c r="E22" s="278"/>
      <c r="F22" s="276"/>
      <c r="G22" s="244"/>
      <c r="H22" s="279"/>
      <c r="I22" s="279"/>
      <c r="J22" s="279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</row>
    <row r="23" spans="1:28" ht="38.25" customHeight="1">
      <c r="A23" s="280" t="s">
        <v>335</v>
      </c>
      <c r="B23" s="281" t="s">
        <v>336</v>
      </c>
      <c r="C23" s="281" t="s">
        <v>337</v>
      </c>
      <c r="D23" s="281" t="s">
        <v>338</v>
      </c>
      <c r="E23" s="281" t="s">
        <v>339</v>
      </c>
      <c r="F23" s="282" t="s">
        <v>340</v>
      </c>
      <c r="G23" s="283"/>
      <c r="H23" s="284" t="s">
        <v>341</v>
      </c>
      <c r="I23" s="285"/>
      <c r="J23" s="286"/>
      <c r="K23" s="243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</row>
    <row r="24" spans="1:28" ht="13.5" customHeight="1">
      <c r="A24" s="287" t="s">
        <v>342</v>
      </c>
      <c r="B24" s="288" t="s">
        <v>179</v>
      </c>
      <c r="C24" s="288" t="s">
        <v>179</v>
      </c>
      <c r="D24" s="288" t="s">
        <v>179</v>
      </c>
      <c r="E24" s="288" t="s">
        <v>202</v>
      </c>
      <c r="F24" s="289" t="s">
        <v>202</v>
      </c>
      <c r="G24" s="283"/>
      <c r="H24" s="290"/>
      <c r="I24" s="291"/>
      <c r="J24" s="292"/>
      <c r="K24" s="243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</row>
    <row r="25" spans="1:28" ht="13.5" customHeight="1">
      <c r="A25" s="293">
        <v>75</v>
      </c>
      <c r="B25" s="294"/>
      <c r="C25" s="295">
        <f t="shared" ref="C25:C35" si="0">A25/1000+1</f>
        <v>1.075</v>
      </c>
      <c r="D25" s="296">
        <f>$B$12</f>
        <v>0.67499999999999993</v>
      </c>
      <c r="E25" s="297">
        <f t="shared" ref="E25:E35" si="1">D25*C25*B25</f>
        <v>0</v>
      </c>
      <c r="F25" s="298">
        <f t="shared" ref="F25:F35" si="2">E25*(1+$B$7/100)</f>
        <v>0</v>
      </c>
      <c r="G25" s="283"/>
      <c r="H25" s="299" t="s">
        <v>343</v>
      </c>
      <c r="I25" s="300">
        <f>B25+B26+B35</f>
        <v>0</v>
      </c>
      <c r="J25" s="301">
        <f>$I$25/($I$25+$I$30)</f>
        <v>0</v>
      </c>
      <c r="K25" s="243"/>
      <c r="L25" s="244"/>
      <c r="M25" s="302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</row>
    <row r="26" spans="1:28" ht="12.75" customHeight="1">
      <c r="A26" s="303">
        <v>90</v>
      </c>
      <c r="B26" s="304">
        <v>0</v>
      </c>
      <c r="C26" s="255">
        <f t="shared" si="0"/>
        <v>1.0900000000000001</v>
      </c>
      <c r="D26" s="305">
        <f>$B$12</f>
        <v>0.67499999999999993</v>
      </c>
      <c r="E26" s="306">
        <f t="shared" si="1"/>
        <v>0</v>
      </c>
      <c r="F26" s="307">
        <f t="shared" si="2"/>
        <v>0</v>
      </c>
      <c r="G26" s="283"/>
      <c r="H26" s="308" t="s">
        <v>344</v>
      </c>
      <c r="I26" s="263"/>
      <c r="J26" s="309">
        <f>I25-J27-J28</f>
        <v>0</v>
      </c>
      <c r="K26" s="243"/>
      <c r="L26" s="244"/>
      <c r="M26" s="302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</row>
    <row r="27" spans="1:28" ht="12.75" customHeight="1">
      <c r="A27" s="303">
        <v>110</v>
      </c>
      <c r="B27" s="304">
        <v>40</v>
      </c>
      <c r="C27" s="255">
        <f t="shared" si="0"/>
        <v>1.1100000000000001</v>
      </c>
      <c r="D27" s="305">
        <f>$B$12</f>
        <v>0.67499999999999993</v>
      </c>
      <c r="E27" s="306">
        <f t="shared" si="1"/>
        <v>29.97</v>
      </c>
      <c r="F27" s="307">
        <f t="shared" si="2"/>
        <v>34.465499999999999</v>
      </c>
      <c r="G27" s="283"/>
      <c r="H27" s="310" t="s">
        <v>345</v>
      </c>
      <c r="I27" s="264"/>
      <c r="J27" s="311">
        <f>C91/100*I25</f>
        <v>0</v>
      </c>
      <c r="K27" s="243"/>
      <c r="L27" s="244"/>
      <c r="M27" s="302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</row>
    <row r="28" spans="1:28" ht="12.75" customHeight="1">
      <c r="A28" s="303">
        <v>160</v>
      </c>
      <c r="B28" s="304">
        <v>20</v>
      </c>
      <c r="C28" s="255">
        <f t="shared" si="0"/>
        <v>1.1599999999999999</v>
      </c>
      <c r="D28" s="305">
        <f>$L$12</f>
        <v>0.76</v>
      </c>
      <c r="E28" s="306">
        <f t="shared" si="1"/>
        <v>17.631999999999998</v>
      </c>
      <c r="F28" s="307">
        <f t="shared" si="2"/>
        <v>20.276799999999994</v>
      </c>
      <c r="G28" s="283"/>
      <c r="H28" s="310" t="s">
        <v>346</v>
      </c>
      <c r="I28" s="264"/>
      <c r="J28" s="311">
        <f>C92/100*I25</f>
        <v>0</v>
      </c>
      <c r="K28" s="243"/>
      <c r="L28" s="312">
        <f>J29/B37</f>
        <v>0</v>
      </c>
      <c r="M28" s="302">
        <f>J25*L21</f>
        <v>0</v>
      </c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</row>
    <row r="29" spans="1:28" ht="12.75" customHeight="1">
      <c r="A29" s="303">
        <v>200</v>
      </c>
      <c r="B29" s="304">
        <v>0</v>
      </c>
      <c r="C29" s="255">
        <f t="shared" si="0"/>
        <v>1.2</v>
      </c>
      <c r="D29" s="305">
        <f>$L$12</f>
        <v>0.76</v>
      </c>
      <c r="E29" s="306">
        <f t="shared" si="1"/>
        <v>0</v>
      </c>
      <c r="F29" s="307">
        <f t="shared" si="2"/>
        <v>0</v>
      </c>
      <c r="G29" s="283"/>
      <c r="H29" s="313"/>
      <c r="I29" s="314"/>
      <c r="J29" s="315">
        <f>SUM(J26:J28)</f>
        <v>0</v>
      </c>
      <c r="K29" s="243"/>
      <c r="L29" s="244"/>
      <c r="M29" s="302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</row>
    <row r="30" spans="1:28" ht="12.75" customHeight="1">
      <c r="A30" s="303">
        <v>250</v>
      </c>
      <c r="B30" s="304">
        <v>0</v>
      </c>
      <c r="C30" s="255">
        <f t="shared" si="0"/>
        <v>1.25</v>
      </c>
      <c r="D30" s="305">
        <f>$O$12</f>
        <v>0.8</v>
      </c>
      <c r="E30" s="306">
        <f t="shared" si="1"/>
        <v>0</v>
      </c>
      <c r="F30" s="307">
        <f t="shared" si="2"/>
        <v>0</v>
      </c>
      <c r="G30" s="283"/>
      <c r="H30" s="316" t="s">
        <v>347</v>
      </c>
      <c r="I30" s="300">
        <f>B27+B28+B29+B30+B31+B32+B33+B34</f>
        <v>60</v>
      </c>
      <c r="J30" s="317">
        <f>$I$30/($I$25+$I$30)</f>
        <v>1</v>
      </c>
      <c r="K30" s="243"/>
      <c r="L30" s="244"/>
      <c r="M30" s="302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</row>
    <row r="31" spans="1:28" ht="12.75" customHeight="1">
      <c r="A31" s="303">
        <f>N2</f>
        <v>200</v>
      </c>
      <c r="B31" s="304">
        <v>0</v>
      </c>
      <c r="C31" s="255">
        <f t="shared" si="0"/>
        <v>1.2</v>
      </c>
      <c r="D31" s="305">
        <f>$O$12</f>
        <v>0.8</v>
      </c>
      <c r="E31" s="306">
        <f t="shared" si="1"/>
        <v>0</v>
      </c>
      <c r="F31" s="307">
        <f t="shared" si="2"/>
        <v>0</v>
      </c>
      <c r="G31" s="283"/>
      <c r="H31" s="308" t="s">
        <v>348</v>
      </c>
      <c r="I31" s="263"/>
      <c r="J31" s="318">
        <f>B27+B31+B34</f>
        <v>40</v>
      </c>
      <c r="K31" s="319">
        <f>IF(AND((C25:C35)&gt;=2,(C25:C35)&lt;3),(B25+B26),0)</f>
        <v>0</v>
      </c>
      <c r="L31" s="312">
        <f>J31/B37</f>
        <v>0.66666666666666663</v>
      </c>
      <c r="M31" s="302">
        <f>L31*L21</f>
        <v>620</v>
      </c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</row>
    <row r="32" spans="1:28" ht="12.75" customHeight="1">
      <c r="A32" s="303">
        <f>N2</f>
        <v>200</v>
      </c>
      <c r="B32" s="304">
        <v>0</v>
      </c>
      <c r="C32" s="255">
        <f t="shared" si="0"/>
        <v>1.2</v>
      </c>
      <c r="D32" s="305">
        <f>$O$12</f>
        <v>0.8</v>
      </c>
      <c r="E32" s="306">
        <f t="shared" si="1"/>
        <v>0</v>
      </c>
      <c r="F32" s="307">
        <f t="shared" si="2"/>
        <v>0</v>
      </c>
      <c r="G32" s="283"/>
      <c r="H32" s="310" t="s">
        <v>349</v>
      </c>
      <c r="I32" s="264"/>
      <c r="J32" s="320">
        <f>B27+B28+B29+B30+B31+B32+B33+B34</f>
        <v>60</v>
      </c>
      <c r="K32" s="243"/>
      <c r="L32" s="312">
        <f>J32/B37</f>
        <v>1</v>
      </c>
      <c r="M32" s="302">
        <f>L32*L21</f>
        <v>930</v>
      </c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</row>
    <row r="33" spans="1:28" ht="12.75" customHeight="1">
      <c r="A33" s="303">
        <f>Q2</f>
        <v>250</v>
      </c>
      <c r="B33" s="304">
        <v>0</v>
      </c>
      <c r="C33" s="255">
        <f t="shared" si="0"/>
        <v>1.25</v>
      </c>
      <c r="D33" s="305">
        <f>$R$12</f>
        <v>0.85</v>
      </c>
      <c r="E33" s="306">
        <f t="shared" si="1"/>
        <v>0</v>
      </c>
      <c r="F33" s="307">
        <f t="shared" si="2"/>
        <v>0</v>
      </c>
      <c r="G33" s="283"/>
      <c r="H33" s="310" t="s">
        <v>350</v>
      </c>
      <c r="I33" s="264"/>
      <c r="J33" s="320">
        <f>B29</f>
        <v>0</v>
      </c>
      <c r="K33" s="243"/>
      <c r="L33" s="312">
        <f>J33/B37</f>
        <v>0</v>
      </c>
      <c r="M33" s="302">
        <f>L33*L21</f>
        <v>0</v>
      </c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</row>
    <row r="34" spans="1:28" ht="12.75" customHeight="1">
      <c r="A34" s="303">
        <f>Q2</f>
        <v>250</v>
      </c>
      <c r="B34" s="304">
        <v>0</v>
      </c>
      <c r="C34" s="255">
        <f t="shared" si="0"/>
        <v>1.25</v>
      </c>
      <c r="D34" s="305">
        <f>$R$12</f>
        <v>0.85</v>
      </c>
      <c r="E34" s="306">
        <f t="shared" si="1"/>
        <v>0</v>
      </c>
      <c r="F34" s="307">
        <f t="shared" si="2"/>
        <v>0</v>
      </c>
      <c r="G34" s="283"/>
      <c r="H34" s="254"/>
      <c r="I34" s="264"/>
      <c r="J34" s="321">
        <f>SUM(J31:J33)</f>
        <v>100</v>
      </c>
      <c r="K34" s="243"/>
      <c r="L34" s="312">
        <f>SUM(L28:L33)</f>
        <v>1.6666666666666665</v>
      </c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</row>
    <row r="35" spans="1:28" ht="12.75" customHeight="1">
      <c r="A35" s="303">
        <f>T2</f>
        <v>315</v>
      </c>
      <c r="B35" s="304">
        <v>0</v>
      </c>
      <c r="C35" s="255">
        <f t="shared" si="0"/>
        <v>1.3149999999999999</v>
      </c>
      <c r="D35" s="305">
        <f>U12</f>
        <v>0.91500000000000004</v>
      </c>
      <c r="E35" s="306">
        <f t="shared" si="1"/>
        <v>0</v>
      </c>
      <c r="F35" s="307">
        <f t="shared" si="2"/>
        <v>0</v>
      </c>
      <c r="G35" s="283"/>
      <c r="H35" s="310" t="s">
        <v>344</v>
      </c>
      <c r="I35" s="264"/>
      <c r="J35" s="311">
        <f>J34-J38</f>
        <v>99.73</v>
      </c>
      <c r="K35" s="243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</row>
    <row r="36" spans="1:28" ht="13.5" customHeight="1">
      <c r="A36" s="322"/>
      <c r="B36" s="323"/>
      <c r="C36" s="324"/>
      <c r="D36" s="325"/>
      <c r="E36" s="326"/>
      <c r="F36" s="327"/>
      <c r="G36" s="283"/>
      <c r="H36" s="310" t="s">
        <v>345</v>
      </c>
      <c r="I36" s="264"/>
      <c r="J36" s="311">
        <f>I30*C91/100</f>
        <v>0.12</v>
      </c>
      <c r="K36" s="243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</row>
    <row r="37" spans="1:28" ht="13.5" customHeight="1">
      <c r="A37" s="328" t="s">
        <v>351</v>
      </c>
      <c r="B37" s="329">
        <f>SUM(B25:B36)</f>
        <v>60</v>
      </c>
      <c r="C37" s="330"/>
      <c r="D37" s="331"/>
      <c r="E37" s="331">
        <f>SUM(E25:E36)</f>
        <v>47.601999999999997</v>
      </c>
      <c r="F37" s="332">
        <f>SUM(F25:F36)</f>
        <v>54.742299999999993</v>
      </c>
      <c r="G37" s="283"/>
      <c r="H37" s="310" t="s">
        <v>346</v>
      </c>
      <c r="I37" s="264"/>
      <c r="J37" s="311">
        <f>I30*C92/100</f>
        <v>0.15</v>
      </c>
      <c r="K37" s="243"/>
      <c r="L37" s="244"/>
      <c r="M37" s="302">
        <f>SUM(M25:M33)</f>
        <v>1550</v>
      </c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</row>
    <row r="38" spans="1:28" ht="13.5" customHeight="1">
      <c r="A38" s="265"/>
      <c r="B38" s="265"/>
      <c r="C38" s="265"/>
      <c r="D38" s="265"/>
      <c r="E38" s="265"/>
      <c r="F38" s="265"/>
      <c r="G38" s="245"/>
      <c r="H38" s="313"/>
      <c r="I38" s="314"/>
      <c r="J38" s="315">
        <f>SUM(J36:J37)</f>
        <v>0.27</v>
      </c>
      <c r="K38" s="243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</row>
    <row r="39" spans="1:28" ht="12.75" customHeight="1">
      <c r="A39" s="333" t="s">
        <v>352</v>
      </c>
      <c r="B39" s="334">
        <f>B37*1</f>
        <v>60</v>
      </c>
      <c r="C39" s="244"/>
      <c r="D39" s="244"/>
      <c r="E39" s="244"/>
      <c r="F39" s="244"/>
      <c r="G39" s="244"/>
      <c r="H39" s="263"/>
      <c r="I39" s="335">
        <f>J29+J38</f>
        <v>0.27</v>
      </c>
      <c r="J39" s="33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</row>
    <row r="40" spans="1:28" ht="12.75" customHeight="1">
      <c r="A40" s="244"/>
      <c r="B40" s="244"/>
      <c r="C40" s="244"/>
      <c r="D40" s="244"/>
      <c r="E40" s="244"/>
      <c r="F40" s="244"/>
      <c r="G40" s="244"/>
      <c r="H40" s="264"/>
      <c r="I40" s="264"/>
      <c r="J40" s="33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</row>
    <row r="41" spans="1:28" ht="12.75" customHeight="1">
      <c r="A41" s="268" t="s">
        <v>353</v>
      </c>
      <c r="B41" s="269"/>
      <c r="C41" s="270"/>
      <c r="D41" s="271"/>
      <c r="E41" s="272"/>
      <c r="F41" s="270"/>
      <c r="G41" s="268" t="s">
        <v>354</v>
      </c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</row>
    <row r="42" spans="1:28" ht="8.15" customHeight="1">
      <c r="A42" s="274"/>
      <c r="B42" s="275"/>
      <c r="C42" s="276"/>
      <c r="D42" s="277"/>
      <c r="E42" s="278"/>
      <c r="F42" s="276"/>
      <c r="G42" s="279"/>
      <c r="H42" s="279"/>
      <c r="I42" s="279"/>
      <c r="J42" s="279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</row>
    <row r="43" spans="1:28" ht="25.5" customHeight="1">
      <c r="A43" s="280" t="s">
        <v>335</v>
      </c>
      <c r="B43" s="281" t="s">
        <v>336</v>
      </c>
      <c r="C43" s="281" t="s">
        <v>337</v>
      </c>
      <c r="D43" s="281" t="s">
        <v>338</v>
      </c>
      <c r="E43" s="281" t="s">
        <v>339</v>
      </c>
      <c r="F43" s="282" t="s">
        <v>340</v>
      </c>
      <c r="G43" s="338" t="s">
        <v>355</v>
      </c>
      <c r="H43" s="339"/>
      <c r="I43" s="340"/>
      <c r="J43" s="341"/>
      <c r="K43" s="243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</row>
    <row r="44" spans="1:28" ht="13.5" customHeight="1">
      <c r="A44" s="287" t="s">
        <v>342</v>
      </c>
      <c r="B44" s="288" t="s">
        <v>179</v>
      </c>
      <c r="C44" s="288" t="s">
        <v>179</v>
      </c>
      <c r="D44" s="288" t="s">
        <v>179</v>
      </c>
      <c r="E44" s="288" t="s">
        <v>202</v>
      </c>
      <c r="F44" s="289" t="s">
        <v>202</v>
      </c>
      <c r="G44" s="342" t="s">
        <v>356</v>
      </c>
      <c r="H44" s="343" t="s">
        <v>100</v>
      </c>
      <c r="I44" s="344" t="s">
        <v>357</v>
      </c>
      <c r="J44" s="345">
        <f>J25</f>
        <v>0</v>
      </c>
      <c r="K44" s="243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</row>
    <row r="45" spans="1:28" ht="12.75" customHeight="1">
      <c r="A45" s="293">
        <f t="shared" ref="A45:B55" si="3">A25</f>
        <v>75</v>
      </c>
      <c r="B45" s="294">
        <f t="shared" si="3"/>
        <v>0</v>
      </c>
      <c r="C45" s="295">
        <f>$B$8</f>
        <v>0.1</v>
      </c>
      <c r="D45" s="296">
        <f t="shared" ref="D45:D55" si="4">D25</f>
        <v>0.67499999999999993</v>
      </c>
      <c r="E45" s="297">
        <f t="shared" ref="E45:E55" si="5">D45*C45*B45</f>
        <v>0</v>
      </c>
      <c r="F45" s="346">
        <f t="shared" ref="F45:F55" si="6">E45*(1+$B$7/100)</f>
        <v>0</v>
      </c>
      <c r="G45" s="347"/>
      <c r="H45" s="348"/>
      <c r="I45" s="349"/>
      <c r="J45" s="350"/>
      <c r="K45" s="243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</row>
    <row r="46" spans="1:28" ht="12.75" customHeight="1">
      <c r="A46" s="303">
        <f t="shared" si="3"/>
        <v>90</v>
      </c>
      <c r="B46" s="304">
        <f t="shared" si="3"/>
        <v>0</v>
      </c>
      <c r="C46" s="255">
        <f>$L$8</f>
        <v>0.1</v>
      </c>
      <c r="D46" s="305">
        <f t="shared" si="4"/>
        <v>0.67499999999999993</v>
      </c>
      <c r="E46" s="306">
        <f t="shared" si="5"/>
        <v>0</v>
      </c>
      <c r="F46" s="351">
        <f t="shared" si="6"/>
        <v>0</v>
      </c>
      <c r="G46" s="251" t="s">
        <v>358</v>
      </c>
      <c r="H46" s="352">
        <f>1-($C$91+$C$92)</f>
        <v>0.55000000000000004</v>
      </c>
      <c r="I46" s="353">
        <f>H46*$F$62*$J$44</f>
        <v>0</v>
      </c>
      <c r="J46" s="354"/>
      <c r="K46" s="243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</row>
    <row r="47" spans="1:28" ht="12.75" customHeight="1">
      <c r="A47" s="303">
        <f t="shared" si="3"/>
        <v>110</v>
      </c>
      <c r="B47" s="304">
        <f t="shared" si="3"/>
        <v>40</v>
      </c>
      <c r="C47" s="255">
        <f>$L$8</f>
        <v>0.1</v>
      </c>
      <c r="D47" s="305">
        <f t="shared" si="4"/>
        <v>0.67499999999999993</v>
      </c>
      <c r="E47" s="306">
        <f t="shared" si="5"/>
        <v>2.6999999999999997</v>
      </c>
      <c r="F47" s="351">
        <f t="shared" si="6"/>
        <v>3.1049999999999995</v>
      </c>
      <c r="G47" s="251" t="str">
        <f>A91</f>
        <v>Intermediate</v>
      </c>
      <c r="H47" s="352">
        <f>C91</f>
        <v>0.2</v>
      </c>
      <c r="I47" s="353">
        <f>H47*$F$62*$J$44</f>
        <v>0</v>
      </c>
      <c r="J47" s="355"/>
      <c r="K47" s="243"/>
      <c r="L47" s="334">
        <f>0.7*F62</f>
        <v>41.716709999999992</v>
      </c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</row>
    <row r="48" spans="1:28" ht="13.5" customHeight="1">
      <c r="A48" s="303">
        <f t="shared" si="3"/>
        <v>160</v>
      </c>
      <c r="B48" s="304">
        <f t="shared" si="3"/>
        <v>20</v>
      </c>
      <c r="C48" s="255">
        <f>$L$8</f>
        <v>0.1</v>
      </c>
      <c r="D48" s="305">
        <f t="shared" si="4"/>
        <v>0.76</v>
      </c>
      <c r="E48" s="306">
        <f t="shared" si="5"/>
        <v>1.5200000000000002</v>
      </c>
      <c r="F48" s="351">
        <f t="shared" si="6"/>
        <v>1.7480000000000002</v>
      </c>
      <c r="G48" s="260" t="str">
        <f>A92</f>
        <v>Hard rock</v>
      </c>
      <c r="H48" s="356">
        <f>C92</f>
        <v>0.25</v>
      </c>
      <c r="I48" s="357">
        <f>H48*$F$62*$J$44</f>
        <v>0</v>
      </c>
      <c r="J48" s="358"/>
      <c r="K48" s="243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</row>
    <row r="49" spans="1:28" ht="12.75" customHeight="1">
      <c r="A49" s="303">
        <f t="shared" si="3"/>
        <v>200</v>
      </c>
      <c r="B49" s="304">
        <f t="shared" si="3"/>
        <v>0</v>
      </c>
      <c r="C49" s="255">
        <f>$L$8</f>
        <v>0.1</v>
      </c>
      <c r="D49" s="305">
        <f t="shared" si="4"/>
        <v>0.76</v>
      </c>
      <c r="E49" s="306">
        <f t="shared" si="5"/>
        <v>0</v>
      </c>
      <c r="F49" s="351">
        <f t="shared" si="6"/>
        <v>0</v>
      </c>
      <c r="G49" s="359"/>
      <c r="H49" s="263"/>
      <c r="I49" s="360">
        <f>SUM(I46:I48)</f>
        <v>0</v>
      </c>
      <c r="J49" s="361"/>
      <c r="K49" s="243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</row>
    <row r="50" spans="1:28" ht="12.75" customHeight="1">
      <c r="A50" s="303">
        <f t="shared" si="3"/>
        <v>250</v>
      </c>
      <c r="B50" s="304">
        <f t="shared" si="3"/>
        <v>0</v>
      </c>
      <c r="C50" s="255">
        <f>$O$8</f>
        <v>0.1</v>
      </c>
      <c r="D50" s="305">
        <f t="shared" si="4"/>
        <v>0.8</v>
      </c>
      <c r="E50" s="306">
        <f t="shared" si="5"/>
        <v>0</v>
      </c>
      <c r="F50" s="351">
        <f t="shared" si="6"/>
        <v>0</v>
      </c>
      <c r="G50" s="362"/>
      <c r="H50" s="363"/>
      <c r="I50" s="363"/>
      <c r="J50" s="364"/>
      <c r="K50" s="243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</row>
    <row r="51" spans="1:28" ht="13.5" customHeight="1">
      <c r="A51" s="303">
        <f t="shared" si="3"/>
        <v>200</v>
      </c>
      <c r="B51" s="304">
        <f t="shared" si="3"/>
        <v>0</v>
      </c>
      <c r="C51" s="255">
        <f>$O$8</f>
        <v>0.1</v>
      </c>
      <c r="D51" s="305">
        <f t="shared" si="4"/>
        <v>0.8</v>
      </c>
      <c r="E51" s="306">
        <f t="shared" si="5"/>
        <v>0</v>
      </c>
      <c r="F51" s="351">
        <f t="shared" si="6"/>
        <v>0</v>
      </c>
      <c r="G51" s="342" t="s">
        <v>356</v>
      </c>
      <c r="H51" s="343" t="s">
        <v>100</v>
      </c>
      <c r="I51" s="344" t="s">
        <v>359</v>
      </c>
      <c r="J51" s="345">
        <f>J30</f>
        <v>1</v>
      </c>
      <c r="K51" s="243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</row>
    <row r="52" spans="1:28" ht="12.75" customHeight="1">
      <c r="A52" s="303">
        <f t="shared" si="3"/>
        <v>200</v>
      </c>
      <c r="B52" s="304">
        <f t="shared" si="3"/>
        <v>0</v>
      </c>
      <c r="C52" s="255">
        <f>$O$8</f>
        <v>0.1</v>
      </c>
      <c r="D52" s="305">
        <f t="shared" si="4"/>
        <v>0.8</v>
      </c>
      <c r="E52" s="306">
        <f t="shared" si="5"/>
        <v>0</v>
      </c>
      <c r="F52" s="351">
        <f t="shared" si="6"/>
        <v>0</v>
      </c>
      <c r="G52" s="365" t="s">
        <v>358</v>
      </c>
      <c r="H52" s="366">
        <f>1-($C$91+$C$92)</f>
        <v>0.55000000000000004</v>
      </c>
      <c r="I52" s="367">
        <f>H52*$F$62*$J$51</f>
        <v>32.777414999999998</v>
      </c>
      <c r="J52" s="350"/>
      <c r="K52" s="243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</row>
    <row r="53" spans="1:28" ht="12.75" customHeight="1">
      <c r="A53" s="303">
        <f t="shared" si="3"/>
        <v>250</v>
      </c>
      <c r="B53" s="304">
        <f t="shared" si="3"/>
        <v>0</v>
      </c>
      <c r="C53" s="255">
        <f>$U$8</f>
        <v>0.1</v>
      </c>
      <c r="D53" s="305">
        <f t="shared" si="4"/>
        <v>0.85</v>
      </c>
      <c r="E53" s="306">
        <f t="shared" si="5"/>
        <v>0</v>
      </c>
      <c r="F53" s="351">
        <f t="shared" si="6"/>
        <v>0</v>
      </c>
      <c r="G53" s="251" t="str">
        <f>A91</f>
        <v>Intermediate</v>
      </c>
      <c r="H53" s="352">
        <f>C91</f>
        <v>0.2</v>
      </c>
      <c r="I53" s="368">
        <f>H53*$F$62*$J$51</f>
        <v>11.91906</v>
      </c>
      <c r="J53" s="355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</row>
    <row r="54" spans="1:28" ht="12.75" customHeight="1">
      <c r="A54" s="303">
        <f t="shared" si="3"/>
        <v>250</v>
      </c>
      <c r="B54" s="304">
        <f t="shared" si="3"/>
        <v>0</v>
      </c>
      <c r="C54" s="255">
        <f>$U$8</f>
        <v>0.1</v>
      </c>
      <c r="D54" s="305">
        <f t="shared" si="4"/>
        <v>0.85</v>
      </c>
      <c r="E54" s="306">
        <f t="shared" si="5"/>
        <v>0</v>
      </c>
      <c r="F54" s="351">
        <f t="shared" si="6"/>
        <v>0</v>
      </c>
      <c r="G54" s="251" t="str">
        <f>A92</f>
        <v>Hard rock</v>
      </c>
      <c r="H54" s="352">
        <f>C92</f>
        <v>0.25</v>
      </c>
      <c r="I54" s="368">
        <f>H54*$F$62*$J$51</f>
        <v>14.898824999999999</v>
      </c>
      <c r="J54" s="355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</row>
    <row r="55" spans="1:28" ht="13.5" customHeight="1">
      <c r="A55" s="322">
        <f t="shared" si="3"/>
        <v>315</v>
      </c>
      <c r="B55" s="323">
        <f t="shared" si="3"/>
        <v>0</v>
      </c>
      <c r="C55" s="324">
        <f>$U$8</f>
        <v>0.1</v>
      </c>
      <c r="D55" s="325">
        <f t="shared" si="4"/>
        <v>0.91500000000000004</v>
      </c>
      <c r="E55" s="326">
        <f t="shared" si="5"/>
        <v>0</v>
      </c>
      <c r="F55" s="369">
        <f t="shared" si="6"/>
        <v>0</v>
      </c>
      <c r="G55" s="370"/>
      <c r="H55" s="371"/>
      <c r="I55" s="372">
        <f>SUM(I52:I54)</f>
        <v>59.595299999999995</v>
      </c>
      <c r="J55" s="358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</row>
    <row r="56" spans="1:28" ht="13.5" customHeight="1">
      <c r="A56" s="328" t="s">
        <v>351</v>
      </c>
      <c r="B56" s="373">
        <f>SUM(B45:B55)</f>
        <v>60</v>
      </c>
      <c r="C56" s="374"/>
      <c r="D56" s="375"/>
      <c r="E56" s="331">
        <f>SUM(E41:E55)</f>
        <v>4.22</v>
      </c>
      <c r="F56" s="332">
        <f>SUM(F45:F55)</f>
        <v>4.8529999999999998</v>
      </c>
      <c r="G56" s="376" t="s">
        <v>360</v>
      </c>
      <c r="H56" s="377"/>
      <c r="I56" s="378">
        <f>I49+I55</f>
        <v>59.595299999999995</v>
      </c>
      <c r="J56" s="379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</row>
    <row r="57" spans="1:28" ht="12.75" customHeight="1">
      <c r="A57" s="380"/>
      <c r="B57" s="381"/>
      <c r="C57" s="263"/>
      <c r="D57" s="382"/>
      <c r="E57" s="382"/>
      <c r="F57" s="383"/>
      <c r="G57" s="265"/>
      <c r="H57" s="384"/>
      <c r="I57" s="265"/>
      <c r="J57" s="265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</row>
    <row r="58" spans="1:28" ht="12.75" customHeight="1">
      <c r="A58" s="268" t="s">
        <v>361</v>
      </c>
      <c r="B58" s="269"/>
      <c r="C58" s="264"/>
      <c r="D58" s="271"/>
      <c r="E58" s="271"/>
      <c r="F58" s="272"/>
      <c r="G58" s="244"/>
      <c r="H58" s="267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</row>
    <row r="59" spans="1:28" ht="8.15" customHeight="1">
      <c r="A59" s="385"/>
      <c r="B59" s="275"/>
      <c r="C59" s="314"/>
      <c r="D59" s="277"/>
      <c r="E59" s="277"/>
      <c r="F59" s="278"/>
      <c r="G59" s="244"/>
      <c r="H59" s="267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</row>
    <row r="60" spans="1:28" ht="15.65" customHeight="1">
      <c r="A60" s="386" t="str">
        <f>A21</f>
        <v>Excavation Volume to Pipe Invert</v>
      </c>
      <c r="B60" s="387"/>
      <c r="C60" s="387"/>
      <c r="D60" s="387"/>
      <c r="E60" s="388"/>
      <c r="F60" s="346">
        <f>F37</f>
        <v>54.742299999999993</v>
      </c>
      <c r="G60" s="243"/>
      <c r="H60" s="267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</row>
    <row r="61" spans="1:28" ht="13.5" customHeight="1">
      <c r="A61" s="389" t="str">
        <f>A41</f>
        <v xml:space="preserve">Excavation Volume of Trench Bottom </v>
      </c>
      <c r="B61" s="390"/>
      <c r="C61" s="390"/>
      <c r="D61" s="390"/>
      <c r="E61" s="391"/>
      <c r="F61" s="369">
        <f>F56</f>
        <v>4.8529999999999998</v>
      </c>
      <c r="G61" s="243"/>
      <c r="H61" s="267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</row>
    <row r="62" spans="1:28" ht="13.5" customHeight="1">
      <c r="A62" s="392" t="s">
        <v>362</v>
      </c>
      <c r="B62" s="393"/>
      <c r="C62" s="394"/>
      <c r="D62" s="395"/>
      <c r="E62" s="396"/>
      <c r="F62" s="332">
        <f>SUM(F60:F61)</f>
        <v>59.595299999999995</v>
      </c>
      <c r="G62" s="397"/>
      <c r="H62" s="398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</row>
    <row r="63" spans="1:28" ht="12.75" customHeight="1">
      <c r="A63" s="399"/>
      <c r="B63" s="400"/>
      <c r="C63" s="401"/>
      <c r="D63" s="402"/>
      <c r="E63" s="400"/>
      <c r="F63" s="383"/>
      <c r="G63" s="244"/>
      <c r="H63" s="267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</row>
    <row r="64" spans="1:28" ht="12.75" customHeight="1">
      <c r="A64" s="403"/>
      <c r="B64" s="269"/>
      <c r="C64" s="264"/>
      <c r="D64" s="271"/>
      <c r="E64" s="271"/>
      <c r="F64" s="272"/>
      <c r="G64" s="244"/>
      <c r="H64" s="267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</row>
    <row r="65" spans="1:28" ht="12.75" customHeight="1">
      <c r="A65" s="268" t="s">
        <v>363</v>
      </c>
      <c r="B65" s="244"/>
      <c r="C65" s="244"/>
      <c r="D65" s="266"/>
      <c r="E65" s="267"/>
      <c r="F65" s="266">
        <f>B7</f>
        <v>15</v>
      </c>
      <c r="G65" s="244"/>
      <c r="H65" s="267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</row>
    <row r="66" spans="1:28" ht="8.15" customHeight="1">
      <c r="A66" s="279"/>
      <c r="B66" s="279"/>
      <c r="C66" s="279"/>
      <c r="D66" s="279"/>
      <c r="E66" s="279"/>
      <c r="F66" s="279"/>
      <c r="G66" s="404"/>
      <c r="H66" s="404"/>
      <c r="I66" s="279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</row>
    <row r="67" spans="1:28" ht="38.25" customHeight="1">
      <c r="A67" s="280" t="s">
        <v>335</v>
      </c>
      <c r="B67" s="281" t="s">
        <v>336</v>
      </c>
      <c r="C67" s="281" t="s">
        <v>364</v>
      </c>
      <c r="D67" s="281" t="s">
        <v>365</v>
      </c>
      <c r="E67" s="281" t="s">
        <v>366</v>
      </c>
      <c r="F67" s="282" t="s">
        <v>367</v>
      </c>
      <c r="G67" s="280" t="s">
        <v>368</v>
      </c>
      <c r="H67" s="281" t="s">
        <v>369</v>
      </c>
      <c r="I67" s="282" t="s">
        <v>370</v>
      </c>
      <c r="J67" s="405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</row>
    <row r="68" spans="1:28" ht="13.5" customHeight="1">
      <c r="A68" s="287" t="s">
        <v>342</v>
      </c>
      <c r="B68" s="288" t="s">
        <v>179</v>
      </c>
      <c r="C68" s="288" t="s">
        <v>331</v>
      </c>
      <c r="D68" s="288" t="s">
        <v>202</v>
      </c>
      <c r="E68" s="288" t="s">
        <v>202</v>
      </c>
      <c r="F68" s="289" t="s">
        <v>202</v>
      </c>
      <c r="G68" s="287" t="s">
        <v>331</v>
      </c>
      <c r="H68" s="288" t="s">
        <v>202</v>
      </c>
      <c r="I68" s="289" t="s">
        <v>202</v>
      </c>
      <c r="J68" s="406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</row>
    <row r="69" spans="1:28" ht="12.75" customHeight="1">
      <c r="A69" s="293">
        <f t="shared" ref="A69:B79" si="7">A25</f>
        <v>75</v>
      </c>
      <c r="B69" s="294">
        <f t="shared" si="7"/>
        <v>0</v>
      </c>
      <c r="C69" s="407">
        <f>$B$14</f>
        <v>0.18120713533088934</v>
      </c>
      <c r="D69" s="297">
        <f t="shared" ref="D69:D79" si="8">C69*B69*(1+$B$7/100)</f>
        <v>0</v>
      </c>
      <c r="E69" s="297">
        <f t="shared" ref="E69:E79" si="9">(A69/1000)^2*PI()/4*B69</f>
        <v>0</v>
      </c>
      <c r="F69" s="346">
        <f t="shared" ref="F69:F79" si="10">(D69-E69)*(1+($B$7/100))</f>
        <v>0</v>
      </c>
      <c r="G69" s="408">
        <f t="shared" ref="G69:G79" si="11">$O$12*$O$11</f>
        <v>0.16000000000000003</v>
      </c>
      <c r="H69" s="297">
        <f t="shared" ref="H69:H79" si="12">G69*B69</f>
        <v>0</v>
      </c>
      <c r="I69" s="346">
        <f t="shared" ref="I69:I79" si="13">H69*(1+$B$7/100)</f>
        <v>0</v>
      </c>
      <c r="J69" s="409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</row>
    <row r="70" spans="1:28" ht="12.75" customHeight="1">
      <c r="A70" s="303">
        <f t="shared" si="7"/>
        <v>90</v>
      </c>
      <c r="B70" s="304">
        <f t="shared" si="7"/>
        <v>0</v>
      </c>
      <c r="C70" s="252">
        <f>$L$14</f>
        <v>0.25349380701702534</v>
      </c>
      <c r="D70" s="306">
        <f t="shared" si="8"/>
        <v>0</v>
      </c>
      <c r="E70" s="306">
        <f t="shared" si="9"/>
        <v>0</v>
      </c>
      <c r="F70" s="351">
        <f t="shared" si="10"/>
        <v>0</v>
      </c>
      <c r="G70" s="410">
        <f t="shared" si="11"/>
        <v>0.16000000000000003</v>
      </c>
      <c r="H70" s="306">
        <f t="shared" si="12"/>
        <v>0</v>
      </c>
      <c r="I70" s="351">
        <f t="shared" si="13"/>
        <v>0</v>
      </c>
      <c r="J70" s="409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</row>
    <row r="71" spans="1:28" ht="12.75" customHeight="1">
      <c r="A71" s="303">
        <f t="shared" si="7"/>
        <v>110</v>
      </c>
      <c r="B71" s="304">
        <f t="shared" si="7"/>
        <v>40</v>
      </c>
      <c r="C71" s="252">
        <f>$L$14</f>
        <v>0.25349380701702534</v>
      </c>
      <c r="D71" s="306">
        <f t="shared" si="8"/>
        <v>11.660715122783165</v>
      </c>
      <c r="E71" s="306">
        <f t="shared" si="9"/>
        <v>0.38013271108436497</v>
      </c>
      <c r="F71" s="351">
        <f t="shared" si="10"/>
        <v>12.972669773453619</v>
      </c>
      <c r="G71" s="410">
        <f t="shared" si="11"/>
        <v>0.16000000000000003</v>
      </c>
      <c r="H71" s="306">
        <f t="shared" si="12"/>
        <v>6.4000000000000012</v>
      </c>
      <c r="I71" s="351">
        <f t="shared" si="13"/>
        <v>7.3600000000000012</v>
      </c>
      <c r="J71" s="409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</row>
    <row r="72" spans="1:28" ht="12.75" customHeight="1">
      <c r="A72" s="303">
        <f t="shared" si="7"/>
        <v>160</v>
      </c>
      <c r="B72" s="304">
        <f t="shared" si="7"/>
        <v>20</v>
      </c>
      <c r="C72" s="252">
        <f>$L$14</f>
        <v>0.25349380701702534</v>
      </c>
      <c r="D72" s="306">
        <f t="shared" si="8"/>
        <v>5.8303575613915823</v>
      </c>
      <c r="E72" s="306">
        <f t="shared" si="9"/>
        <v>0.40212385965949349</v>
      </c>
      <c r="F72" s="351">
        <f t="shared" si="10"/>
        <v>6.2424687569919017</v>
      </c>
      <c r="G72" s="410">
        <f t="shared" si="11"/>
        <v>0.16000000000000003</v>
      </c>
      <c r="H72" s="306">
        <f t="shared" si="12"/>
        <v>3.2000000000000006</v>
      </c>
      <c r="I72" s="351">
        <f t="shared" si="13"/>
        <v>3.6800000000000006</v>
      </c>
      <c r="J72" s="409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</row>
    <row r="73" spans="1:28" ht="12.75" customHeight="1">
      <c r="A73" s="303">
        <f t="shared" si="7"/>
        <v>200</v>
      </c>
      <c r="B73" s="304">
        <f t="shared" si="7"/>
        <v>0</v>
      </c>
      <c r="C73" s="252">
        <f>$L$14</f>
        <v>0.25349380701702534</v>
      </c>
      <c r="D73" s="306">
        <f t="shared" si="8"/>
        <v>0</v>
      </c>
      <c r="E73" s="306">
        <f t="shared" si="9"/>
        <v>0</v>
      </c>
      <c r="F73" s="351">
        <f t="shared" si="10"/>
        <v>0</v>
      </c>
      <c r="G73" s="410">
        <f t="shared" si="11"/>
        <v>0.16000000000000003</v>
      </c>
      <c r="H73" s="306">
        <f t="shared" si="12"/>
        <v>0</v>
      </c>
      <c r="I73" s="351">
        <f t="shared" si="13"/>
        <v>0</v>
      </c>
      <c r="J73" s="409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</row>
    <row r="74" spans="1:28" ht="12.75" customHeight="1">
      <c r="A74" s="303">
        <f t="shared" si="7"/>
        <v>250</v>
      </c>
      <c r="B74" s="304">
        <f t="shared" si="7"/>
        <v>0</v>
      </c>
      <c r="C74" s="252">
        <f>$O$14</f>
        <v>0.28858407346410214</v>
      </c>
      <c r="D74" s="306">
        <f t="shared" si="8"/>
        <v>0</v>
      </c>
      <c r="E74" s="306">
        <f t="shared" si="9"/>
        <v>0</v>
      </c>
      <c r="F74" s="351">
        <f t="shared" si="10"/>
        <v>0</v>
      </c>
      <c r="G74" s="410">
        <f t="shared" si="11"/>
        <v>0.16000000000000003</v>
      </c>
      <c r="H74" s="306">
        <f t="shared" si="12"/>
        <v>0</v>
      </c>
      <c r="I74" s="351">
        <f t="shared" si="13"/>
        <v>0</v>
      </c>
      <c r="J74" s="409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</row>
    <row r="75" spans="1:28" ht="12.75" customHeight="1">
      <c r="A75" s="303">
        <f t="shared" si="7"/>
        <v>200</v>
      </c>
      <c r="B75" s="304">
        <f t="shared" si="7"/>
        <v>0</v>
      </c>
      <c r="C75" s="252">
        <f>$O$14</f>
        <v>0.28858407346410214</v>
      </c>
      <c r="D75" s="306">
        <f t="shared" si="8"/>
        <v>0</v>
      </c>
      <c r="E75" s="306">
        <f t="shared" si="9"/>
        <v>0</v>
      </c>
      <c r="F75" s="351">
        <f t="shared" si="10"/>
        <v>0</v>
      </c>
      <c r="G75" s="410">
        <f t="shared" si="11"/>
        <v>0.16000000000000003</v>
      </c>
      <c r="H75" s="306">
        <f t="shared" si="12"/>
        <v>0</v>
      </c>
      <c r="I75" s="351">
        <f t="shared" si="13"/>
        <v>0</v>
      </c>
      <c r="J75" s="409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</row>
    <row r="76" spans="1:28" ht="12.75" customHeight="1">
      <c r="A76" s="303">
        <f t="shared" si="7"/>
        <v>200</v>
      </c>
      <c r="B76" s="304">
        <f t="shared" si="7"/>
        <v>0</v>
      </c>
      <c r="C76" s="252">
        <f>$O$14</f>
        <v>0.28858407346410214</v>
      </c>
      <c r="D76" s="306">
        <f t="shared" si="8"/>
        <v>0</v>
      </c>
      <c r="E76" s="306">
        <f t="shared" si="9"/>
        <v>0</v>
      </c>
      <c r="F76" s="351">
        <f t="shared" si="10"/>
        <v>0</v>
      </c>
      <c r="G76" s="410">
        <f t="shared" si="11"/>
        <v>0.16000000000000003</v>
      </c>
      <c r="H76" s="306">
        <f t="shared" si="12"/>
        <v>0</v>
      </c>
      <c r="I76" s="351">
        <f t="shared" si="13"/>
        <v>0</v>
      </c>
      <c r="J76" s="409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</row>
    <row r="77" spans="1:28" ht="12.75" customHeight="1">
      <c r="A77" s="303">
        <f t="shared" si="7"/>
        <v>250</v>
      </c>
      <c r="B77" s="304">
        <f t="shared" si="7"/>
        <v>0</v>
      </c>
      <c r="C77" s="252">
        <f>$R$14</f>
        <v>0.33341261478765949</v>
      </c>
      <c r="D77" s="306">
        <f t="shared" si="8"/>
        <v>0</v>
      </c>
      <c r="E77" s="306">
        <f t="shared" si="9"/>
        <v>0</v>
      </c>
      <c r="F77" s="351">
        <f t="shared" si="10"/>
        <v>0</v>
      </c>
      <c r="G77" s="410">
        <f t="shared" si="11"/>
        <v>0.16000000000000003</v>
      </c>
      <c r="H77" s="306">
        <f t="shared" si="12"/>
        <v>0</v>
      </c>
      <c r="I77" s="351">
        <f t="shared" si="13"/>
        <v>0</v>
      </c>
      <c r="J77" s="409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</row>
    <row r="78" spans="1:28" ht="12.75" customHeight="1">
      <c r="A78" s="303">
        <f t="shared" si="7"/>
        <v>250</v>
      </c>
      <c r="B78" s="304">
        <f t="shared" si="7"/>
        <v>0</v>
      </c>
      <c r="C78" s="252">
        <f>$R$14</f>
        <v>0.33341261478765949</v>
      </c>
      <c r="D78" s="306">
        <f t="shared" si="8"/>
        <v>0</v>
      </c>
      <c r="E78" s="306">
        <f t="shared" si="9"/>
        <v>0</v>
      </c>
      <c r="F78" s="351">
        <f t="shared" si="10"/>
        <v>0</v>
      </c>
      <c r="G78" s="410">
        <f t="shared" si="11"/>
        <v>0.16000000000000003</v>
      </c>
      <c r="H78" s="306">
        <f t="shared" si="12"/>
        <v>0</v>
      </c>
      <c r="I78" s="351">
        <f t="shared" si="13"/>
        <v>0</v>
      </c>
      <c r="J78" s="409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</row>
    <row r="79" spans="1:28" ht="12.75" customHeight="1">
      <c r="A79" s="303">
        <f t="shared" si="7"/>
        <v>315</v>
      </c>
      <c r="B79" s="304">
        <f t="shared" si="7"/>
        <v>0</v>
      </c>
      <c r="C79" s="252">
        <f>R14</f>
        <v>0.33341261478765949</v>
      </c>
      <c r="D79" s="306">
        <f t="shared" si="8"/>
        <v>0</v>
      </c>
      <c r="E79" s="306">
        <f t="shared" si="9"/>
        <v>0</v>
      </c>
      <c r="F79" s="351">
        <f t="shared" si="10"/>
        <v>0</v>
      </c>
      <c r="G79" s="410">
        <f t="shared" si="11"/>
        <v>0.16000000000000003</v>
      </c>
      <c r="H79" s="306">
        <f t="shared" si="12"/>
        <v>0</v>
      </c>
      <c r="I79" s="351">
        <f t="shared" si="13"/>
        <v>0</v>
      </c>
      <c r="J79" s="409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</row>
    <row r="80" spans="1:28" ht="13.5" customHeight="1">
      <c r="A80" s="322"/>
      <c r="B80" s="323"/>
      <c r="C80" s="411"/>
      <c r="D80" s="326"/>
      <c r="E80" s="326"/>
      <c r="F80" s="369"/>
      <c r="G80" s="412"/>
      <c r="H80" s="326"/>
      <c r="I80" s="369"/>
      <c r="J80" s="409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</row>
    <row r="81" spans="1:28" ht="13.5" customHeight="1">
      <c r="A81" s="328" t="s">
        <v>351</v>
      </c>
      <c r="B81" s="373"/>
      <c r="C81" s="374"/>
      <c r="D81" s="375">
        <f>SUM(D69:D80)</f>
        <v>17.491072684174746</v>
      </c>
      <c r="E81" s="331">
        <f>SUM(E69:E80)</f>
        <v>0.78225657074385846</v>
      </c>
      <c r="F81" s="332">
        <f>SUM(F69:F80)</f>
        <v>19.215138530445522</v>
      </c>
      <c r="G81" s="413"/>
      <c r="H81" s="331">
        <f>SUM(H69:H80)</f>
        <v>9.6000000000000014</v>
      </c>
      <c r="I81" s="332">
        <f>SUM(I69:I80)</f>
        <v>11.040000000000003</v>
      </c>
      <c r="J81" s="409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</row>
    <row r="82" spans="1:28" ht="13.5" customHeight="1">
      <c r="A82" s="414"/>
      <c r="B82" s="373"/>
      <c r="C82" s="415" t="s">
        <v>100</v>
      </c>
      <c r="D82" s="375"/>
      <c r="E82" s="331"/>
      <c r="F82" s="332"/>
      <c r="G82" s="416" t="s">
        <v>100</v>
      </c>
      <c r="H82" s="331"/>
      <c r="I82" s="332"/>
      <c r="J82" s="409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</row>
    <row r="83" spans="1:28" ht="12.75" customHeight="1">
      <c r="A83" s="417" t="s">
        <v>371</v>
      </c>
      <c r="B83" s="418"/>
      <c r="C83" s="419">
        <f>100%-C85</f>
        <v>0.65</v>
      </c>
      <c r="D83" s="297">
        <f>C83*D$81</f>
        <v>11.369197244713586</v>
      </c>
      <c r="E83" s="297">
        <f>C83/100*E$81</f>
        <v>5.0846677098350807E-3</v>
      </c>
      <c r="F83" s="346">
        <f>(D83-E83)*(1+$B$7/100)</f>
        <v>13.068729463554311</v>
      </c>
      <c r="G83" s="420">
        <f>100%-G85</f>
        <v>0.65</v>
      </c>
      <c r="H83" s="297">
        <f>G83*H$81</f>
        <v>6.2400000000000011</v>
      </c>
      <c r="I83" s="346">
        <f>H83*(1+$B$7/100)</f>
        <v>7.176000000000001</v>
      </c>
      <c r="J83" s="409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</row>
    <row r="84" spans="1:28" ht="12.75" customHeight="1">
      <c r="A84" s="421" t="s">
        <v>372</v>
      </c>
      <c r="B84" s="422"/>
      <c r="C84" s="423">
        <v>0</v>
      </c>
      <c r="D84" s="306">
        <f>C84*D$81</f>
        <v>0</v>
      </c>
      <c r="E84" s="306">
        <f>D84/100*E$81</f>
        <v>0</v>
      </c>
      <c r="F84" s="351">
        <f>(D84-E84)*(1+$B$7/100)</f>
        <v>0</v>
      </c>
      <c r="G84" s="424">
        <v>0</v>
      </c>
      <c r="H84" s="306">
        <f>G84*H$81</f>
        <v>0</v>
      </c>
      <c r="I84" s="351">
        <f>H84*(1+$B$7/100)</f>
        <v>0</v>
      </c>
      <c r="J84" s="409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</row>
    <row r="85" spans="1:28" ht="13.5" customHeight="1">
      <c r="A85" s="425" t="s">
        <v>373</v>
      </c>
      <c r="B85" s="426"/>
      <c r="C85" s="427">
        <f>C92+C91/2</f>
        <v>0.35</v>
      </c>
      <c r="D85" s="326">
        <f>C85*D$81</f>
        <v>6.121875439461161</v>
      </c>
      <c r="E85" s="326">
        <f>C85/100*E$81</f>
        <v>2.7378979976035041E-3</v>
      </c>
      <c r="F85" s="369">
        <f>(D85-E85)*(1+$B$7/100)</f>
        <v>7.0370081726830911</v>
      </c>
      <c r="G85" s="428">
        <f>C92+C91/2</f>
        <v>0.35</v>
      </c>
      <c r="H85" s="326">
        <f>G85*H$81</f>
        <v>3.3600000000000003</v>
      </c>
      <c r="I85" s="369">
        <f>H85*(1+$B$7/100)</f>
        <v>3.8639999999999999</v>
      </c>
      <c r="J85" s="409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</row>
    <row r="86" spans="1:28" ht="13.5" customHeight="1">
      <c r="A86" s="328" t="s">
        <v>374</v>
      </c>
      <c r="B86" s="429"/>
      <c r="C86" s="430">
        <f t="shared" ref="C86:I86" si="14">SUM(C83:C85)</f>
        <v>1</v>
      </c>
      <c r="D86" s="331">
        <f t="shared" si="14"/>
        <v>17.491072684174746</v>
      </c>
      <c r="E86" s="331">
        <f t="shared" si="14"/>
        <v>7.8225657074385852E-3</v>
      </c>
      <c r="F86" s="431">
        <f t="shared" si="14"/>
        <v>20.1057376362374</v>
      </c>
      <c r="G86" s="430">
        <f t="shared" si="14"/>
        <v>1</v>
      </c>
      <c r="H86" s="331">
        <f t="shared" si="14"/>
        <v>9.6000000000000014</v>
      </c>
      <c r="I86" s="332">
        <f t="shared" si="14"/>
        <v>11.040000000000001</v>
      </c>
      <c r="J86" s="409"/>
      <c r="K86" s="334">
        <f>F83+I83+F85+I85+F93</f>
        <v>32.5409751362374</v>
      </c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</row>
    <row r="87" spans="1:28" ht="12.75" customHeight="1">
      <c r="A87" s="380"/>
      <c r="B87" s="381"/>
      <c r="C87" s="432"/>
      <c r="D87" s="382"/>
      <c r="E87" s="382"/>
      <c r="F87" s="383"/>
      <c r="G87" s="432"/>
      <c r="H87" s="382"/>
      <c r="I87" s="383"/>
      <c r="J87" s="272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</row>
    <row r="88" spans="1:28" ht="12.75" customHeight="1">
      <c r="A88" s="268" t="s">
        <v>375</v>
      </c>
      <c r="B88" s="269"/>
      <c r="C88" s="264"/>
      <c r="D88" s="271"/>
      <c r="E88" s="271"/>
      <c r="F88" s="272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</row>
    <row r="89" spans="1:28" ht="8.15" customHeight="1">
      <c r="A89" s="385"/>
      <c r="B89" s="275"/>
      <c r="C89" s="314"/>
      <c r="D89" s="277"/>
      <c r="E89" s="277"/>
      <c r="F89" s="278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</row>
    <row r="90" spans="1:28" ht="12.75" customHeight="1">
      <c r="A90" s="433"/>
      <c r="B90" s="418"/>
      <c r="C90" s="434" t="s">
        <v>100</v>
      </c>
      <c r="D90" s="435"/>
      <c r="E90" s="434" t="s">
        <v>202</v>
      </c>
      <c r="F90" s="436" t="s">
        <v>202</v>
      </c>
      <c r="G90" s="243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</row>
    <row r="91" spans="1:28" ht="12.75" customHeight="1">
      <c r="A91" s="421" t="s">
        <v>376</v>
      </c>
      <c r="B91" s="422"/>
      <c r="C91" s="423">
        <v>0.2</v>
      </c>
      <c r="D91" s="306"/>
      <c r="E91" s="306">
        <f>C91*F37</f>
        <v>10.948459999999999</v>
      </c>
      <c r="F91" s="351">
        <f>E91*(1+$B$7/100)</f>
        <v>12.590728999999998</v>
      </c>
      <c r="G91" s="243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</row>
    <row r="92" spans="1:28" ht="12.75" customHeight="1">
      <c r="A92" s="421" t="s">
        <v>377</v>
      </c>
      <c r="B92" s="422"/>
      <c r="C92" s="423">
        <v>0.25</v>
      </c>
      <c r="D92" s="306"/>
      <c r="E92" s="306">
        <f>C92*F37</f>
        <v>13.685574999999998</v>
      </c>
      <c r="F92" s="351">
        <f>E92*(1+$B$7/100)</f>
        <v>15.738411249999997</v>
      </c>
      <c r="G92" s="243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</row>
    <row r="93" spans="1:28" ht="12.75" customHeight="1">
      <c r="A93" s="421" t="s">
        <v>378</v>
      </c>
      <c r="B93" s="422"/>
      <c r="C93" s="423">
        <v>0.25</v>
      </c>
      <c r="D93" s="306"/>
      <c r="E93" s="306">
        <f>C93*F61</f>
        <v>1.2132499999999999</v>
      </c>
      <c r="F93" s="351">
        <f>E93*(1+$B$7/100)</f>
        <v>1.3952374999999999</v>
      </c>
      <c r="G93" s="243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</row>
    <row r="94" spans="1:28" ht="12.75" customHeight="1">
      <c r="A94" s="421" t="s">
        <v>379</v>
      </c>
      <c r="B94" s="437"/>
      <c r="C94" s="438"/>
      <c r="D94" s="439"/>
      <c r="E94" s="306"/>
      <c r="F94" s="351">
        <f>F62-F81-I81</f>
        <v>29.34016146955447</v>
      </c>
      <c r="G94" s="243"/>
      <c r="H94" s="244"/>
      <c r="I94" s="244"/>
      <c r="J94" s="244"/>
      <c r="K94" s="244"/>
      <c r="L94" s="244"/>
      <c r="M94" s="334">
        <f>F94</f>
        <v>29.34016146955447</v>
      </c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</row>
    <row r="95" spans="1:28" ht="12.75" customHeight="1">
      <c r="A95" s="421" t="s">
        <v>380</v>
      </c>
      <c r="B95" s="437"/>
      <c r="C95" s="438"/>
      <c r="D95" s="439"/>
      <c r="E95" s="306"/>
      <c r="F95" s="351">
        <f>F62-F83-I83-F91-F92</f>
        <v>11.021430286445687</v>
      </c>
      <c r="G95" s="243"/>
      <c r="H95" s="244"/>
      <c r="I95" s="440">
        <f>5.5*31</f>
        <v>170.5</v>
      </c>
      <c r="J95" s="244"/>
      <c r="K95" s="244"/>
      <c r="L95" s="244"/>
      <c r="M95" s="33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</row>
    <row r="96" spans="1:28" ht="12.75" customHeight="1">
      <c r="A96" s="421" t="s">
        <v>381</v>
      </c>
      <c r="B96" s="437"/>
      <c r="C96" s="438"/>
      <c r="D96" s="439"/>
      <c r="E96" s="306"/>
      <c r="F96" s="351">
        <f>IF(F95&lt;F94,F94-F95,0)</f>
        <v>18.318731183108781</v>
      </c>
      <c r="G96" s="243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</row>
    <row r="97" spans="1:28" ht="13.5" customHeight="1">
      <c r="A97" s="425" t="s">
        <v>382</v>
      </c>
      <c r="B97" s="441"/>
      <c r="C97" s="442"/>
      <c r="D97" s="443"/>
      <c r="E97" s="326"/>
      <c r="F97" s="369">
        <f>F84+F85+I84+I85+F91+F92+F93</f>
        <v>40.625385922683087</v>
      </c>
      <c r="G97" s="243"/>
      <c r="H97" s="244"/>
      <c r="I97" s="244"/>
      <c r="J97" s="244"/>
      <c r="K97" s="244"/>
      <c r="L97" s="244"/>
      <c r="M97" s="334">
        <f>SUM(K86:K96)</f>
        <v>32.5409751362374</v>
      </c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</row>
    <row r="98" spans="1:28" ht="12.75" customHeight="1">
      <c r="A98" s="444" t="s">
        <v>383</v>
      </c>
      <c r="B98" s="265"/>
      <c r="C98" s="265"/>
      <c r="D98" s="265"/>
      <c r="E98" s="265"/>
      <c r="F98" s="265"/>
      <c r="G98" s="244"/>
      <c r="H98" s="244"/>
      <c r="I98" s="244"/>
      <c r="J98" s="244"/>
      <c r="K98" s="244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</row>
  </sheetData>
  <mergeCells count="21">
    <mergeCell ref="B4:C4"/>
    <mergeCell ref="X3:Y3"/>
    <mergeCell ref="R4:S4"/>
    <mergeCell ref="A1:C1"/>
    <mergeCell ref="L3:M3"/>
    <mergeCell ref="Q1:S1"/>
    <mergeCell ref="B3:C3"/>
    <mergeCell ref="N1:P1"/>
    <mergeCell ref="R3:S3"/>
    <mergeCell ref="AA4:AB4"/>
    <mergeCell ref="X4:Y4"/>
    <mergeCell ref="Z1:AB1"/>
    <mergeCell ref="K1:M1"/>
    <mergeCell ref="O3:P3"/>
    <mergeCell ref="U3:V3"/>
    <mergeCell ref="O4:P4"/>
    <mergeCell ref="L4:M4"/>
    <mergeCell ref="W1:Y1"/>
    <mergeCell ref="AA3:AB3"/>
    <mergeCell ref="U4:V4"/>
    <mergeCell ref="T1:V1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98"/>
  <sheetViews>
    <sheetView showGridLines="0" workbookViewId="0"/>
  </sheetViews>
  <sheetFormatPr defaultColWidth="9.7265625" defaultRowHeight="12.75" customHeight="1"/>
  <cols>
    <col min="1" max="1" width="39" style="446" customWidth="1"/>
    <col min="2" max="2" width="9.7265625" style="446" customWidth="1"/>
    <col min="3" max="3" width="14.7265625" style="446" customWidth="1"/>
    <col min="4" max="5" width="12.7265625" style="446" customWidth="1"/>
    <col min="6" max="6" width="9.7265625" style="446" customWidth="1"/>
    <col min="7" max="7" width="11.7265625" style="446" customWidth="1"/>
    <col min="8" max="8" width="12.7265625" style="446" customWidth="1"/>
    <col min="9" max="9" width="12" style="446" customWidth="1"/>
    <col min="10" max="10" width="9.7265625" style="446" customWidth="1"/>
    <col min="11" max="11" width="25.453125" style="446" customWidth="1"/>
    <col min="12" max="12" width="9.7265625" style="446" customWidth="1"/>
    <col min="13" max="13" width="14.7265625" style="446" customWidth="1"/>
    <col min="14" max="14" width="25.453125" style="446" customWidth="1"/>
    <col min="15" max="15" width="9.7265625" style="446" customWidth="1"/>
    <col min="16" max="16" width="10.7265625" style="446" customWidth="1"/>
    <col min="17" max="17" width="25.453125" style="446" customWidth="1"/>
    <col min="18" max="18" width="9.7265625" style="446" customWidth="1"/>
    <col min="19" max="19" width="14.7265625" style="446" customWidth="1"/>
    <col min="20" max="20" width="25.453125" style="446" customWidth="1"/>
    <col min="21" max="21" width="9.7265625" style="446" customWidth="1"/>
    <col min="22" max="22" width="14.7265625" style="446" customWidth="1"/>
    <col min="23" max="23" width="25.453125" style="446" customWidth="1"/>
    <col min="24" max="24" width="9.7265625" style="446" customWidth="1"/>
    <col min="25" max="25" width="14.7265625" style="446" customWidth="1"/>
    <col min="26" max="26" width="25.453125" style="446" customWidth="1"/>
    <col min="27" max="27" width="9.7265625" style="446" customWidth="1"/>
    <col min="28" max="28" width="14.7265625" style="446" customWidth="1"/>
    <col min="29" max="29" width="9.7265625" style="446" customWidth="1"/>
    <col min="30" max="16384" width="9.7265625" style="446"/>
  </cols>
  <sheetData>
    <row r="1" spans="1:28" ht="18" customHeight="1">
      <c r="A1" s="478" t="s">
        <v>315</v>
      </c>
      <c r="B1" s="479"/>
      <c r="C1" s="480"/>
      <c r="D1" s="243"/>
      <c r="E1" s="244"/>
      <c r="F1" s="244"/>
      <c r="G1" s="244"/>
      <c r="H1" s="244"/>
      <c r="I1" s="244"/>
      <c r="J1" s="245"/>
      <c r="K1" s="478" t="s">
        <v>315</v>
      </c>
      <c r="L1" s="479"/>
      <c r="M1" s="480"/>
      <c r="N1" s="478" t="s">
        <v>315</v>
      </c>
      <c r="O1" s="479"/>
      <c r="P1" s="480"/>
      <c r="Q1" s="478" t="s">
        <v>315</v>
      </c>
      <c r="R1" s="479"/>
      <c r="S1" s="480"/>
      <c r="T1" s="478" t="s">
        <v>315</v>
      </c>
      <c r="U1" s="479"/>
      <c r="V1" s="480"/>
      <c r="W1" s="478" t="s">
        <v>315</v>
      </c>
      <c r="X1" s="479"/>
      <c r="Y1" s="480"/>
      <c r="Z1" s="478" t="s">
        <v>315</v>
      </c>
      <c r="AA1" s="479"/>
      <c r="AB1" s="480"/>
    </row>
    <row r="2" spans="1:28" ht="13.5" customHeight="1">
      <c r="A2" s="246">
        <v>110</v>
      </c>
      <c r="B2" s="247" t="s">
        <v>316</v>
      </c>
      <c r="C2" s="248"/>
      <c r="D2" s="243"/>
      <c r="E2" s="244"/>
      <c r="F2" s="244"/>
      <c r="G2" s="244"/>
      <c r="H2" s="244"/>
      <c r="I2" s="244"/>
      <c r="J2" s="245"/>
      <c r="K2" s="246">
        <v>160</v>
      </c>
      <c r="L2" s="247" t="s">
        <v>316</v>
      </c>
      <c r="M2" s="248"/>
      <c r="N2" s="246">
        <v>200</v>
      </c>
      <c r="O2" s="247" t="s">
        <v>317</v>
      </c>
      <c r="P2" s="248"/>
      <c r="Q2" s="246">
        <v>250</v>
      </c>
      <c r="R2" s="247" t="s">
        <v>316</v>
      </c>
      <c r="S2" s="248"/>
      <c r="T2" s="246">
        <v>315</v>
      </c>
      <c r="U2" s="247" t="s">
        <v>316</v>
      </c>
      <c r="V2" s="248"/>
      <c r="W2" s="246">
        <v>355</v>
      </c>
      <c r="X2" s="247" t="s">
        <v>316</v>
      </c>
      <c r="Y2" s="248"/>
      <c r="Z2" s="246">
        <v>400</v>
      </c>
      <c r="AA2" s="247" t="s">
        <v>316</v>
      </c>
      <c r="AB2" s="248"/>
    </row>
    <row r="3" spans="1:28" ht="12.75" customHeight="1">
      <c r="A3" s="249" t="s">
        <v>318</v>
      </c>
      <c r="B3" s="481" t="s">
        <v>319</v>
      </c>
      <c r="C3" s="482"/>
      <c r="D3" s="243"/>
      <c r="E3" s="244"/>
      <c r="F3" s="244"/>
      <c r="G3" s="244"/>
      <c r="H3" s="244"/>
      <c r="I3" s="244"/>
      <c r="J3" s="245"/>
      <c r="K3" s="249" t="s">
        <v>318</v>
      </c>
      <c r="L3" s="481" t="str">
        <f>$B$3</f>
        <v>ABC</v>
      </c>
      <c r="M3" s="482"/>
      <c r="N3" s="249" t="s">
        <v>318</v>
      </c>
      <c r="O3" s="481" t="str">
        <f>$B$3</f>
        <v>ABC</v>
      </c>
      <c r="P3" s="482"/>
      <c r="Q3" s="249" t="s">
        <v>318</v>
      </c>
      <c r="R3" s="481" t="str">
        <f>$B$3</f>
        <v>ABC</v>
      </c>
      <c r="S3" s="482"/>
      <c r="T3" s="249" t="s">
        <v>318</v>
      </c>
      <c r="U3" s="481" t="str">
        <f>$B$3</f>
        <v>ABC</v>
      </c>
      <c r="V3" s="482"/>
      <c r="W3" s="249" t="s">
        <v>318</v>
      </c>
      <c r="X3" s="481" t="str">
        <f>$B$3</f>
        <v>ABC</v>
      </c>
      <c r="Y3" s="482"/>
      <c r="Z3" s="249" t="s">
        <v>318</v>
      </c>
      <c r="AA3" s="481" t="str">
        <f>$B$3</f>
        <v>ABC</v>
      </c>
      <c r="AB3" s="482"/>
    </row>
    <row r="4" spans="1:28" ht="12.75" customHeight="1">
      <c r="A4" s="250" t="s">
        <v>320</v>
      </c>
      <c r="B4" s="476" t="s">
        <v>321</v>
      </c>
      <c r="C4" s="477"/>
      <c r="D4" s="243"/>
      <c r="E4" s="244"/>
      <c r="F4" s="244"/>
      <c r="G4" s="244"/>
      <c r="H4" s="244"/>
      <c r="I4" s="244"/>
      <c r="J4" s="245"/>
      <c r="K4" s="250" t="s">
        <v>320</v>
      </c>
      <c r="L4" s="476" t="str">
        <f>$B$4</f>
        <v>0000</v>
      </c>
      <c r="M4" s="477"/>
      <c r="N4" s="250" t="s">
        <v>320</v>
      </c>
      <c r="O4" s="476" t="str">
        <f>$B$4</f>
        <v>0000</v>
      </c>
      <c r="P4" s="477"/>
      <c r="Q4" s="250" t="s">
        <v>320</v>
      </c>
      <c r="R4" s="476" t="str">
        <f>$B$4</f>
        <v>0000</v>
      </c>
      <c r="S4" s="477"/>
      <c r="T4" s="250" t="s">
        <v>320</v>
      </c>
      <c r="U4" s="476" t="str">
        <f>$B$4</f>
        <v>0000</v>
      </c>
      <c r="V4" s="477"/>
      <c r="W4" s="250" t="s">
        <v>320</v>
      </c>
      <c r="X4" s="476" t="str">
        <f>$B$4</f>
        <v>0000</v>
      </c>
      <c r="Y4" s="477"/>
      <c r="Z4" s="250" t="s">
        <v>320</v>
      </c>
      <c r="AA4" s="476" t="str">
        <f>$B$4</f>
        <v>0000</v>
      </c>
      <c r="AB4" s="477"/>
    </row>
    <row r="5" spans="1:28" ht="12.75" customHeight="1">
      <c r="A5" s="251" t="s">
        <v>322</v>
      </c>
      <c r="B5" s="252">
        <f>A69/1000</f>
        <v>7.4999999999999997E-2</v>
      </c>
      <c r="C5" s="253" t="s">
        <v>179</v>
      </c>
      <c r="D5" s="254"/>
      <c r="E5" s="244"/>
      <c r="F5" s="244"/>
      <c r="G5" s="244"/>
      <c r="H5" s="244"/>
      <c r="I5" s="244"/>
      <c r="J5" s="245"/>
      <c r="K5" s="251" t="s">
        <v>322</v>
      </c>
      <c r="L5" s="255">
        <f>K2/1000</f>
        <v>0.16</v>
      </c>
      <c r="M5" s="253" t="s">
        <v>179</v>
      </c>
      <c r="N5" s="251" t="s">
        <v>322</v>
      </c>
      <c r="O5" s="255">
        <f>N2/1000</f>
        <v>0.2</v>
      </c>
      <c r="P5" s="253" t="s">
        <v>179</v>
      </c>
      <c r="Q5" s="251" t="s">
        <v>322</v>
      </c>
      <c r="R5" s="255">
        <f>Q2/1000</f>
        <v>0.25</v>
      </c>
      <c r="S5" s="253" t="s">
        <v>179</v>
      </c>
      <c r="T5" s="251" t="s">
        <v>322</v>
      </c>
      <c r="U5" s="255">
        <f>T2/1000</f>
        <v>0.315</v>
      </c>
      <c r="V5" s="253" t="s">
        <v>179</v>
      </c>
      <c r="W5" s="251" t="s">
        <v>322</v>
      </c>
      <c r="X5" s="255">
        <f>W2/1000</f>
        <v>0.35499999999999998</v>
      </c>
      <c r="Y5" s="253" t="s">
        <v>179</v>
      </c>
      <c r="Z5" s="251" t="s">
        <v>322</v>
      </c>
      <c r="AA5" s="255">
        <f>Z2/1000</f>
        <v>0.4</v>
      </c>
      <c r="AB5" s="253" t="s">
        <v>179</v>
      </c>
    </row>
    <row r="6" spans="1:28" ht="12.75" customHeight="1">
      <c r="A6" s="251" t="s">
        <v>323</v>
      </c>
      <c r="B6" s="252">
        <f>B5-0.0044</f>
        <v>7.0599999999999996E-2</v>
      </c>
      <c r="C6" s="253" t="s">
        <v>179</v>
      </c>
      <c r="D6" s="254"/>
      <c r="E6" s="244"/>
      <c r="F6" s="244"/>
      <c r="G6" s="244"/>
      <c r="H6" s="244"/>
      <c r="I6" s="244"/>
      <c r="J6" s="245"/>
      <c r="K6" s="251" t="s">
        <v>323</v>
      </c>
      <c r="L6" s="255">
        <f>L5-0.0064</f>
        <v>0.15360000000000001</v>
      </c>
      <c r="M6" s="253" t="s">
        <v>179</v>
      </c>
      <c r="N6" s="251" t="s">
        <v>323</v>
      </c>
      <c r="O6" s="255">
        <f>O5-0.0078</f>
        <v>0.19220000000000001</v>
      </c>
      <c r="P6" s="253" t="s">
        <v>179</v>
      </c>
      <c r="Q6" s="251" t="s">
        <v>323</v>
      </c>
      <c r="R6" s="255">
        <f>R5-0.01</f>
        <v>0.24</v>
      </c>
      <c r="S6" s="253" t="s">
        <v>179</v>
      </c>
      <c r="T6" s="251" t="s">
        <v>323</v>
      </c>
      <c r="U6" s="255">
        <f>U5-0.0124</f>
        <v>0.30259999999999998</v>
      </c>
      <c r="V6" s="253" t="s">
        <v>179</v>
      </c>
      <c r="W6" s="251" t="s">
        <v>323</v>
      </c>
      <c r="X6" s="255">
        <f>X5-0.014</f>
        <v>0.34099999999999997</v>
      </c>
      <c r="Y6" s="253" t="s">
        <v>179</v>
      </c>
      <c r="Z6" s="251" t="s">
        <v>323</v>
      </c>
      <c r="AA6" s="255">
        <f>AA5-0.0158</f>
        <v>0.38420000000000004</v>
      </c>
      <c r="AB6" s="253" t="s">
        <v>179</v>
      </c>
    </row>
    <row r="7" spans="1:28" ht="12.75" customHeight="1">
      <c r="A7" s="251" t="s">
        <v>324</v>
      </c>
      <c r="B7" s="256">
        <v>15</v>
      </c>
      <c r="C7" s="257" t="s">
        <v>100</v>
      </c>
      <c r="D7" s="254"/>
      <c r="E7" s="244"/>
      <c r="F7" s="244"/>
      <c r="G7" s="244"/>
      <c r="H7" s="244"/>
      <c r="I7" s="244"/>
      <c r="J7" s="245"/>
      <c r="K7" s="251" t="s">
        <v>324</v>
      </c>
      <c r="L7" s="256">
        <f>$B$7</f>
        <v>15</v>
      </c>
      <c r="M7" s="257" t="s">
        <v>100</v>
      </c>
      <c r="N7" s="251" t="s">
        <v>324</v>
      </c>
      <c r="O7" s="256">
        <f>$B$7</f>
        <v>15</v>
      </c>
      <c r="P7" s="257" t="s">
        <v>100</v>
      </c>
      <c r="Q7" s="251" t="s">
        <v>324</v>
      </c>
      <c r="R7" s="256">
        <f>$B$7</f>
        <v>15</v>
      </c>
      <c r="S7" s="257" t="s">
        <v>100</v>
      </c>
      <c r="T7" s="251" t="s">
        <v>324</v>
      </c>
      <c r="U7" s="256">
        <f>$B$7</f>
        <v>15</v>
      </c>
      <c r="V7" s="257" t="s">
        <v>100</v>
      </c>
      <c r="W7" s="251" t="s">
        <v>324</v>
      </c>
      <c r="X7" s="256">
        <f>$B$7</f>
        <v>15</v>
      </c>
      <c r="Y7" s="257" t="s">
        <v>100</v>
      </c>
      <c r="Z7" s="251" t="s">
        <v>324</v>
      </c>
      <c r="AA7" s="256">
        <f>$B$7</f>
        <v>15</v>
      </c>
      <c r="AB7" s="257" t="s">
        <v>100</v>
      </c>
    </row>
    <row r="8" spans="1:28" ht="12.75" customHeight="1">
      <c r="A8" s="251" t="s">
        <v>325</v>
      </c>
      <c r="B8" s="258">
        <f>IF(B5&lt;0.401,0.1,IF(B5&lt;0.801,B5/4,0.2))</f>
        <v>0.1</v>
      </c>
      <c r="C8" s="253" t="s">
        <v>179</v>
      </c>
      <c r="D8" s="254"/>
      <c r="E8" s="244"/>
      <c r="F8" s="244"/>
      <c r="G8" s="244"/>
      <c r="H8" s="244"/>
      <c r="I8" s="244"/>
      <c r="J8" s="245"/>
      <c r="K8" s="251" t="s">
        <v>325</v>
      </c>
      <c r="L8" s="258">
        <f>IF(L5&lt;0.401,0.1,IF(L5&lt;0.801,L5/4,0.2))</f>
        <v>0.1</v>
      </c>
      <c r="M8" s="253" t="s">
        <v>179</v>
      </c>
      <c r="N8" s="251" t="s">
        <v>325</v>
      </c>
      <c r="O8" s="258">
        <f>IF(O5&lt;0.401,0.1,IF(O5&lt;0.801,O5/4,0.2))</f>
        <v>0.1</v>
      </c>
      <c r="P8" s="253" t="s">
        <v>179</v>
      </c>
      <c r="Q8" s="251" t="s">
        <v>325</v>
      </c>
      <c r="R8" s="258">
        <f>IF(R5&lt;0.401,0.1,IF(R5&lt;0.801,R5/4,0.2))</f>
        <v>0.1</v>
      </c>
      <c r="S8" s="253" t="s">
        <v>179</v>
      </c>
      <c r="T8" s="251" t="s">
        <v>325</v>
      </c>
      <c r="U8" s="258">
        <f>IF(U5&lt;0.401,0.1,IF(U5&lt;0.801,U5/4,0.2))</f>
        <v>0.1</v>
      </c>
      <c r="V8" s="253" t="s">
        <v>179</v>
      </c>
      <c r="W8" s="251" t="s">
        <v>325</v>
      </c>
      <c r="X8" s="258">
        <f>IF(X5&lt;0.401,0.1,IF(X5&lt;0.801,X5/4,0.2))</f>
        <v>0.1</v>
      </c>
      <c r="Y8" s="253" t="s">
        <v>179</v>
      </c>
      <c r="Z8" s="251" t="s">
        <v>325</v>
      </c>
      <c r="AA8" s="258">
        <f>IF(AA5&lt;0.401,0.1,IF(AA5&lt;0.801,AA5/4,0.2))</f>
        <v>0.1</v>
      </c>
      <c r="AB8" s="253" t="s">
        <v>179</v>
      </c>
    </row>
    <row r="9" spans="1:28" ht="12.75" customHeight="1">
      <c r="A9" s="251" t="s">
        <v>326</v>
      </c>
      <c r="B9" s="258">
        <v>0.1</v>
      </c>
      <c r="C9" s="253" t="s">
        <v>179</v>
      </c>
      <c r="D9" s="254"/>
      <c r="E9" s="244"/>
      <c r="F9" s="244"/>
      <c r="G9" s="244"/>
      <c r="H9" s="244"/>
      <c r="I9" s="244"/>
      <c r="J9" s="245"/>
      <c r="K9" s="251" t="s">
        <v>326</v>
      </c>
      <c r="L9" s="258">
        <v>0.1</v>
      </c>
      <c r="M9" s="253" t="s">
        <v>179</v>
      </c>
      <c r="N9" s="251" t="s">
        <v>326</v>
      </c>
      <c r="O9" s="258">
        <v>0.1</v>
      </c>
      <c r="P9" s="253" t="s">
        <v>179</v>
      </c>
      <c r="Q9" s="251" t="s">
        <v>326</v>
      </c>
      <c r="R9" s="258">
        <v>0.1</v>
      </c>
      <c r="S9" s="253" t="s">
        <v>179</v>
      </c>
      <c r="T9" s="251" t="s">
        <v>326</v>
      </c>
      <c r="U9" s="258">
        <v>0.1</v>
      </c>
      <c r="V9" s="253" t="s">
        <v>179</v>
      </c>
      <c r="W9" s="251" t="s">
        <v>326</v>
      </c>
      <c r="X9" s="258">
        <v>0.1</v>
      </c>
      <c r="Y9" s="253" t="s">
        <v>179</v>
      </c>
      <c r="Z9" s="251" t="s">
        <v>326</v>
      </c>
      <c r="AA9" s="258">
        <v>0.1</v>
      </c>
      <c r="AB9" s="253" t="s">
        <v>179</v>
      </c>
    </row>
    <row r="10" spans="1:28" ht="12.75" customHeight="1">
      <c r="A10" s="251" t="s">
        <v>327</v>
      </c>
      <c r="B10" s="258">
        <f>B9+B8+B5</f>
        <v>0.27500000000000002</v>
      </c>
      <c r="C10" s="253" t="s">
        <v>179</v>
      </c>
      <c r="D10" s="254"/>
      <c r="E10" s="244"/>
      <c r="F10" s="244"/>
      <c r="G10" s="244"/>
      <c r="H10" s="244"/>
      <c r="I10" s="244"/>
      <c r="J10" s="245"/>
      <c r="K10" s="251" t="s">
        <v>327</v>
      </c>
      <c r="L10" s="258">
        <f>L9+L8+L5</f>
        <v>0.36</v>
      </c>
      <c r="M10" s="253" t="s">
        <v>179</v>
      </c>
      <c r="N10" s="251" t="s">
        <v>327</v>
      </c>
      <c r="O10" s="258">
        <f>O9+O8+O5</f>
        <v>0.4</v>
      </c>
      <c r="P10" s="253" t="s">
        <v>179</v>
      </c>
      <c r="Q10" s="251" t="s">
        <v>327</v>
      </c>
      <c r="R10" s="258">
        <f>R9+R8+R5</f>
        <v>0.45</v>
      </c>
      <c r="S10" s="253" t="s">
        <v>179</v>
      </c>
      <c r="T10" s="251" t="s">
        <v>327</v>
      </c>
      <c r="U10" s="258">
        <f>U9+U8+U5</f>
        <v>0.51500000000000001</v>
      </c>
      <c r="V10" s="253" t="s">
        <v>179</v>
      </c>
      <c r="W10" s="251" t="s">
        <v>327</v>
      </c>
      <c r="X10" s="258">
        <f>X9+X8+X5</f>
        <v>0.55499999999999994</v>
      </c>
      <c r="Y10" s="253" t="s">
        <v>179</v>
      </c>
      <c r="Z10" s="251" t="s">
        <v>327</v>
      </c>
      <c r="AA10" s="258">
        <f>AA9+AA8+AA5</f>
        <v>0.60000000000000009</v>
      </c>
      <c r="AB10" s="253" t="s">
        <v>179</v>
      </c>
    </row>
    <row r="11" spans="1:28" ht="12.75" customHeight="1">
      <c r="A11" s="251" t="s">
        <v>328</v>
      </c>
      <c r="B11" s="258">
        <v>0.2</v>
      </c>
      <c r="C11" s="253" t="s">
        <v>179</v>
      </c>
      <c r="D11" s="254"/>
      <c r="E11" s="244"/>
      <c r="F11" s="244"/>
      <c r="G11" s="244"/>
      <c r="H11" s="244"/>
      <c r="I11" s="244"/>
      <c r="J11" s="245"/>
      <c r="K11" s="251" t="s">
        <v>328</v>
      </c>
      <c r="L11" s="258">
        <v>0.2</v>
      </c>
      <c r="M11" s="253" t="s">
        <v>179</v>
      </c>
      <c r="N11" s="251" t="s">
        <v>328</v>
      </c>
      <c r="O11" s="258">
        <v>0.2</v>
      </c>
      <c r="P11" s="253" t="s">
        <v>179</v>
      </c>
      <c r="Q11" s="251" t="s">
        <v>328</v>
      </c>
      <c r="R11" s="258">
        <v>0.2</v>
      </c>
      <c r="S11" s="253" t="s">
        <v>179</v>
      </c>
      <c r="T11" s="251" t="s">
        <v>328</v>
      </c>
      <c r="U11" s="258">
        <v>0.2</v>
      </c>
      <c r="V11" s="253" t="s">
        <v>179</v>
      </c>
      <c r="W11" s="251" t="s">
        <v>328</v>
      </c>
      <c r="X11" s="258">
        <v>0.2</v>
      </c>
      <c r="Y11" s="253" t="s">
        <v>179</v>
      </c>
      <c r="Z11" s="251" t="s">
        <v>328</v>
      </c>
      <c r="AA11" s="258">
        <v>0.2</v>
      </c>
      <c r="AB11" s="253" t="s">
        <v>179</v>
      </c>
    </row>
    <row r="12" spans="1:28" ht="12.75" customHeight="1">
      <c r="A12" s="251" t="s">
        <v>329</v>
      </c>
      <c r="B12" s="258">
        <f>IF(B5&lt;0.701,B5+0.6,IF(B5&lt;1.001,B5+0.8,IF(B5&lt;2.001,B5+1,B5+1.2)))</f>
        <v>0.67499999999999993</v>
      </c>
      <c r="C12" s="253" t="s">
        <v>179</v>
      </c>
      <c r="D12" s="254"/>
      <c r="E12" s="244"/>
      <c r="F12" s="244"/>
      <c r="G12" s="244"/>
      <c r="H12" s="244"/>
      <c r="I12" s="244"/>
      <c r="J12" s="245"/>
      <c r="K12" s="251" t="s">
        <v>329</v>
      </c>
      <c r="L12" s="258">
        <f>IF(L5&lt;0.701,L5+0.6,IF(L5&lt;1.001,L5+0.8,IF(L5&lt;2.001,L5+1,L5+1.2)))</f>
        <v>0.76</v>
      </c>
      <c r="M12" s="253" t="s">
        <v>179</v>
      </c>
      <c r="N12" s="251" t="s">
        <v>329</v>
      </c>
      <c r="O12" s="258">
        <f>IF(O5&lt;0.701,O5+0.6,IF(O5&lt;1.001,O5+0.8,IF(O5&lt;2.001,O5+1,O5+1.2)))</f>
        <v>0.8</v>
      </c>
      <c r="P12" s="253" t="s">
        <v>179</v>
      </c>
      <c r="Q12" s="251" t="s">
        <v>329</v>
      </c>
      <c r="R12" s="258">
        <f>IF(R5&lt;0.701,R5+0.6,IF(R5&lt;1.001,R5+0.8,IF(R5&lt;2.001,R5+1,R5+1.2)))</f>
        <v>0.85</v>
      </c>
      <c r="S12" s="253" t="s">
        <v>179</v>
      </c>
      <c r="T12" s="251" t="s">
        <v>329</v>
      </c>
      <c r="U12" s="258">
        <f>IF(U5&lt;0.701,U5+0.6,IF(U5&lt;1.001,U5+0.8,IF(U5&lt;2.001,U5+1,U5+1.2)))</f>
        <v>0.91500000000000004</v>
      </c>
      <c r="V12" s="253" t="s">
        <v>179</v>
      </c>
      <c r="W12" s="251" t="s">
        <v>329</v>
      </c>
      <c r="X12" s="258">
        <f>IF(X5&lt;0.701,X5+0.6,IF(X5&lt;1.001,X5+0.8,IF(X5&lt;2.001,X5+1,X5+1.2)))</f>
        <v>0.95499999999999996</v>
      </c>
      <c r="Y12" s="253" t="s">
        <v>179</v>
      </c>
      <c r="Z12" s="251" t="s">
        <v>329</v>
      </c>
      <c r="AA12" s="258">
        <f>IF(AA5&lt;0.701,AA5+0.6,IF(AA5&lt;1.001,AA5+0.8,IF(AA5&lt;2.001,AA5+1,AA5+1.2)))</f>
        <v>1</v>
      </c>
      <c r="AB12" s="253" t="s">
        <v>179</v>
      </c>
    </row>
    <row r="13" spans="1:28" ht="12.75" customHeight="1">
      <c r="A13" s="251" t="s">
        <v>330</v>
      </c>
      <c r="B13" s="259">
        <f>B12*B11</f>
        <v>0.13499999999999998</v>
      </c>
      <c r="C13" s="253" t="s">
        <v>331</v>
      </c>
      <c r="D13" s="254"/>
      <c r="E13" s="244"/>
      <c r="F13" s="244"/>
      <c r="G13" s="244"/>
      <c r="H13" s="244"/>
      <c r="I13" s="244"/>
      <c r="J13" s="245"/>
      <c r="K13" s="251" t="s">
        <v>330</v>
      </c>
      <c r="L13" s="259">
        <f>L12*L11</f>
        <v>0.15200000000000002</v>
      </c>
      <c r="M13" s="253" t="s">
        <v>331</v>
      </c>
      <c r="N13" s="251" t="s">
        <v>330</v>
      </c>
      <c r="O13" s="259">
        <f>O12*O11</f>
        <v>0.16000000000000003</v>
      </c>
      <c r="P13" s="253" t="s">
        <v>331</v>
      </c>
      <c r="Q13" s="251" t="s">
        <v>330</v>
      </c>
      <c r="R13" s="259">
        <f>R12*R11</f>
        <v>0.17</v>
      </c>
      <c r="S13" s="253" t="s">
        <v>331</v>
      </c>
      <c r="T13" s="251" t="s">
        <v>330</v>
      </c>
      <c r="U13" s="259">
        <f>U12*U11</f>
        <v>0.18300000000000002</v>
      </c>
      <c r="V13" s="253" t="s">
        <v>331</v>
      </c>
      <c r="W13" s="251" t="s">
        <v>330</v>
      </c>
      <c r="X13" s="259">
        <f>X12*X11</f>
        <v>0.191</v>
      </c>
      <c r="Y13" s="253" t="s">
        <v>331</v>
      </c>
      <c r="Z13" s="251" t="s">
        <v>330</v>
      </c>
      <c r="AA13" s="259">
        <f>AA12*AA11</f>
        <v>0.2</v>
      </c>
      <c r="AB13" s="253" t="s">
        <v>331</v>
      </c>
    </row>
    <row r="14" spans="1:28" ht="13.5" customHeight="1">
      <c r="A14" s="260" t="s">
        <v>332</v>
      </c>
      <c r="B14" s="261">
        <f>B12*B10-(PI()*B5^2)/4</f>
        <v>0.18120713533088934</v>
      </c>
      <c r="C14" s="262" t="s">
        <v>331</v>
      </c>
      <c r="D14" s="254"/>
      <c r="E14" s="244"/>
      <c r="F14" s="244"/>
      <c r="G14" s="244"/>
      <c r="H14" s="244"/>
      <c r="I14" s="244"/>
      <c r="J14" s="245"/>
      <c r="K14" s="260" t="s">
        <v>332</v>
      </c>
      <c r="L14" s="261">
        <f>L12*L10-(PI()*L5^2)/4</f>
        <v>0.25349380701702534</v>
      </c>
      <c r="M14" s="262" t="s">
        <v>331</v>
      </c>
      <c r="N14" s="260" t="s">
        <v>332</v>
      </c>
      <c r="O14" s="261">
        <f>O12*O10-(PI()*O5^2)/4</f>
        <v>0.28858407346410214</v>
      </c>
      <c r="P14" s="262" t="s">
        <v>331</v>
      </c>
      <c r="Q14" s="260" t="s">
        <v>332</v>
      </c>
      <c r="R14" s="261">
        <f>R12*R10-(PI()*R5^2)/4</f>
        <v>0.33341261478765949</v>
      </c>
      <c r="S14" s="262" t="s">
        <v>331</v>
      </c>
      <c r="T14" s="260" t="s">
        <v>332</v>
      </c>
      <c r="U14" s="261">
        <f>U12*U10-(PI()*U5^2)/4</f>
        <v>0.39329386723688819</v>
      </c>
      <c r="V14" s="262" t="s">
        <v>331</v>
      </c>
      <c r="W14" s="260" t="s">
        <v>332</v>
      </c>
      <c r="X14" s="261">
        <f>X12*X10-(PI()*X5^2)/4</f>
        <v>0.43104519645783657</v>
      </c>
      <c r="Y14" s="262" t="s">
        <v>331</v>
      </c>
      <c r="Z14" s="260" t="s">
        <v>332</v>
      </c>
      <c r="AA14" s="261">
        <f>AA12*AA10-(PI()*AA5^2)/4</f>
        <v>0.47433629385640835</v>
      </c>
      <c r="AB14" s="262" t="s">
        <v>331</v>
      </c>
    </row>
    <row r="15" spans="1:28" ht="12.75" customHeight="1">
      <c r="A15" s="263"/>
      <c r="B15" s="263"/>
      <c r="C15" s="263"/>
      <c r="D15" s="264"/>
      <c r="E15" s="244"/>
      <c r="F15" s="264"/>
      <c r="G15" s="264"/>
      <c r="H15" s="244"/>
      <c r="I15" s="244"/>
      <c r="J15" s="24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</row>
    <row r="16" spans="1:28" ht="12.75" customHeight="1">
      <c r="A16" s="264"/>
      <c r="B16" s="264"/>
      <c r="C16" s="264"/>
      <c r="D16" s="264"/>
      <c r="E16" s="244"/>
      <c r="F16" s="264"/>
      <c r="G16" s="26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</row>
    <row r="17" spans="1:28" ht="12.75" customHeight="1">
      <c r="A17" s="266"/>
      <c r="B17" s="266"/>
      <c r="C17" s="244"/>
      <c r="D17" s="266"/>
      <c r="E17" s="267"/>
      <c r="F17" s="266"/>
      <c r="G17" s="267"/>
      <c r="H17" s="267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</row>
    <row r="18" spans="1:28" ht="12.75" customHeight="1">
      <c r="A18" s="244"/>
      <c r="B18" s="244"/>
      <c r="C18" s="244"/>
      <c r="D18" s="266"/>
      <c r="E18" s="267"/>
      <c r="F18" s="266"/>
      <c r="G18" s="267"/>
      <c r="H18" s="267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</row>
    <row r="19" spans="1:28" ht="12.75" customHeight="1">
      <c r="A19" s="244"/>
      <c r="B19" s="244"/>
      <c r="C19" s="244"/>
      <c r="D19" s="266"/>
      <c r="E19" s="267"/>
      <c r="F19" s="266"/>
      <c r="G19" s="267"/>
      <c r="H19" s="267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</row>
    <row r="20" spans="1:28" ht="12.75" customHeight="1">
      <c r="A20" s="244"/>
      <c r="B20" s="244"/>
      <c r="C20" s="244"/>
      <c r="D20" s="266"/>
      <c r="E20" s="267"/>
      <c r="F20" s="266"/>
      <c r="G20" s="267"/>
      <c r="H20" s="267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</row>
    <row r="21" spans="1:28" ht="12.75" customHeight="1">
      <c r="A21" s="268" t="s">
        <v>333</v>
      </c>
      <c r="B21" s="269"/>
      <c r="C21" s="270"/>
      <c r="D21" s="271"/>
      <c r="E21" s="272"/>
      <c r="F21" s="270"/>
      <c r="G21" s="244"/>
      <c r="H21" s="268" t="s">
        <v>334</v>
      </c>
      <c r="I21" s="244"/>
      <c r="J21" s="244"/>
      <c r="K21" s="244"/>
      <c r="L21" s="273">
        <v>930</v>
      </c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</row>
    <row r="22" spans="1:28" ht="8.15" customHeight="1">
      <c r="A22" s="274"/>
      <c r="B22" s="275"/>
      <c r="C22" s="276"/>
      <c r="D22" s="277"/>
      <c r="E22" s="278"/>
      <c r="F22" s="276"/>
      <c r="G22" s="244"/>
      <c r="H22" s="279"/>
      <c r="I22" s="279"/>
      <c r="J22" s="279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</row>
    <row r="23" spans="1:28" ht="38.25" customHeight="1">
      <c r="A23" s="280" t="s">
        <v>335</v>
      </c>
      <c r="B23" s="281" t="s">
        <v>336</v>
      </c>
      <c r="C23" s="281" t="s">
        <v>337</v>
      </c>
      <c r="D23" s="281" t="s">
        <v>338</v>
      </c>
      <c r="E23" s="281" t="s">
        <v>339</v>
      </c>
      <c r="F23" s="282" t="s">
        <v>340</v>
      </c>
      <c r="G23" s="283"/>
      <c r="H23" s="284" t="s">
        <v>341</v>
      </c>
      <c r="I23" s="285"/>
      <c r="J23" s="286"/>
      <c r="K23" s="243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</row>
    <row r="24" spans="1:28" ht="13.5" customHeight="1">
      <c r="A24" s="287" t="s">
        <v>342</v>
      </c>
      <c r="B24" s="288" t="s">
        <v>179</v>
      </c>
      <c r="C24" s="288" t="s">
        <v>179</v>
      </c>
      <c r="D24" s="288" t="s">
        <v>179</v>
      </c>
      <c r="E24" s="288" t="s">
        <v>202</v>
      </c>
      <c r="F24" s="289" t="s">
        <v>202</v>
      </c>
      <c r="G24" s="283"/>
      <c r="H24" s="290"/>
      <c r="I24" s="291"/>
      <c r="J24" s="292"/>
      <c r="K24" s="243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</row>
    <row r="25" spans="1:28" ht="13.5" customHeight="1">
      <c r="A25" s="293">
        <v>75</v>
      </c>
      <c r="B25" s="294">
        <v>3201.81</v>
      </c>
      <c r="C25" s="295">
        <f t="shared" ref="C25:C35" si="0">A25/1000+1</f>
        <v>1.075</v>
      </c>
      <c r="D25" s="296">
        <f>$B$12</f>
        <v>0.67499999999999993</v>
      </c>
      <c r="E25" s="297">
        <f t="shared" ref="E25:E35" si="1">D25*C25*B25</f>
        <v>2323.3133812499996</v>
      </c>
      <c r="F25" s="298">
        <f t="shared" ref="F25:F35" si="2">E25*(1+$B$7/100)</f>
        <v>2671.8103884374991</v>
      </c>
      <c r="G25" s="283"/>
      <c r="H25" s="299" t="s">
        <v>343</v>
      </c>
      <c r="I25" s="300">
        <f>B25+B26+B35</f>
        <v>3201.81</v>
      </c>
      <c r="J25" s="301">
        <f>$I$25/($I$25+$I$30)</f>
        <v>0.63464134293478591</v>
      </c>
      <c r="K25" s="243"/>
      <c r="L25" s="244"/>
      <c r="M25" s="302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</row>
    <row r="26" spans="1:28" ht="12.75" customHeight="1">
      <c r="A26" s="303">
        <v>90</v>
      </c>
      <c r="B26" s="304">
        <v>0</v>
      </c>
      <c r="C26" s="255">
        <f t="shared" si="0"/>
        <v>1.0900000000000001</v>
      </c>
      <c r="D26" s="305">
        <f>$B$12</f>
        <v>0.67499999999999993</v>
      </c>
      <c r="E26" s="306">
        <f t="shared" si="1"/>
        <v>0</v>
      </c>
      <c r="F26" s="307">
        <f t="shared" si="2"/>
        <v>0</v>
      </c>
      <c r="G26" s="283"/>
      <c r="H26" s="308" t="s">
        <v>344</v>
      </c>
      <c r="I26" s="263"/>
      <c r="J26" s="309">
        <f>I25-J27-J28</f>
        <v>3187.4018550000001</v>
      </c>
      <c r="K26" s="243"/>
      <c r="L26" s="244"/>
      <c r="M26" s="302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</row>
    <row r="27" spans="1:28" ht="12.75" customHeight="1">
      <c r="A27" s="303">
        <v>110</v>
      </c>
      <c r="B27" s="304">
        <v>1843.26</v>
      </c>
      <c r="C27" s="255">
        <f t="shared" si="0"/>
        <v>1.1100000000000001</v>
      </c>
      <c r="D27" s="305">
        <f>$B$12</f>
        <v>0.67499999999999993</v>
      </c>
      <c r="E27" s="306">
        <f t="shared" si="1"/>
        <v>1381.062555</v>
      </c>
      <c r="F27" s="307">
        <f t="shared" si="2"/>
        <v>1588.2219382499998</v>
      </c>
      <c r="G27" s="283"/>
      <c r="H27" s="310" t="s">
        <v>345</v>
      </c>
      <c r="I27" s="264"/>
      <c r="J27" s="311">
        <f>C91/100*I25</f>
        <v>6.4036200000000001</v>
      </c>
      <c r="K27" s="243"/>
      <c r="L27" s="244"/>
      <c r="M27" s="302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</row>
    <row r="28" spans="1:28" ht="12.75" customHeight="1">
      <c r="A28" s="303">
        <v>160</v>
      </c>
      <c r="B28" s="304">
        <v>0</v>
      </c>
      <c r="C28" s="255">
        <f t="shared" si="0"/>
        <v>1.1599999999999999</v>
      </c>
      <c r="D28" s="305">
        <f>$L$12</f>
        <v>0.76</v>
      </c>
      <c r="E28" s="306">
        <f t="shared" si="1"/>
        <v>0</v>
      </c>
      <c r="F28" s="307">
        <f t="shared" si="2"/>
        <v>0</v>
      </c>
      <c r="G28" s="283"/>
      <c r="H28" s="310" t="s">
        <v>346</v>
      </c>
      <c r="I28" s="264"/>
      <c r="J28" s="311">
        <f>C92/100*I25</f>
        <v>8.0045249999999992</v>
      </c>
      <c r="K28" s="243"/>
      <c r="L28" s="312">
        <f>J29/B37</f>
        <v>0.63464134293478591</v>
      </c>
      <c r="M28" s="302">
        <f>J25*L21</f>
        <v>590.21644892935092</v>
      </c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</row>
    <row r="29" spans="1:28" ht="12.75" customHeight="1">
      <c r="A29" s="303">
        <v>200</v>
      </c>
      <c r="B29" s="304">
        <v>0</v>
      </c>
      <c r="C29" s="255">
        <f t="shared" si="0"/>
        <v>1.2</v>
      </c>
      <c r="D29" s="305">
        <f>$L$12</f>
        <v>0.76</v>
      </c>
      <c r="E29" s="306">
        <f t="shared" si="1"/>
        <v>0</v>
      </c>
      <c r="F29" s="307">
        <f t="shared" si="2"/>
        <v>0</v>
      </c>
      <c r="G29" s="283"/>
      <c r="H29" s="313"/>
      <c r="I29" s="314"/>
      <c r="J29" s="315">
        <f>SUM(J26:J28)</f>
        <v>3201.81</v>
      </c>
      <c r="K29" s="243"/>
      <c r="L29" s="244"/>
      <c r="M29" s="302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</row>
    <row r="30" spans="1:28" ht="12.75" customHeight="1">
      <c r="A30" s="303">
        <v>250</v>
      </c>
      <c r="B30" s="304">
        <v>0</v>
      </c>
      <c r="C30" s="255">
        <f t="shared" si="0"/>
        <v>1.25</v>
      </c>
      <c r="D30" s="305">
        <f>$O$12</f>
        <v>0.8</v>
      </c>
      <c r="E30" s="306">
        <f t="shared" si="1"/>
        <v>0</v>
      </c>
      <c r="F30" s="307">
        <f t="shared" si="2"/>
        <v>0</v>
      </c>
      <c r="G30" s="283"/>
      <c r="H30" s="316" t="s">
        <v>347</v>
      </c>
      <c r="I30" s="300">
        <f>B27+B28+B29+B30+B31+B32+B33+B34</f>
        <v>1843.26</v>
      </c>
      <c r="J30" s="317">
        <f>$I$30/($I$25+$I$30)</f>
        <v>0.3653586570652142</v>
      </c>
      <c r="K30" s="243"/>
      <c r="L30" s="244"/>
      <c r="M30" s="302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</row>
    <row r="31" spans="1:28" ht="12.75" customHeight="1">
      <c r="A31" s="303">
        <f>N2</f>
        <v>200</v>
      </c>
      <c r="B31" s="304">
        <v>0</v>
      </c>
      <c r="C31" s="255">
        <f t="shared" si="0"/>
        <v>1.2</v>
      </c>
      <c r="D31" s="305">
        <f>$O$12</f>
        <v>0.8</v>
      </c>
      <c r="E31" s="306">
        <f t="shared" si="1"/>
        <v>0</v>
      </c>
      <c r="F31" s="307">
        <f t="shared" si="2"/>
        <v>0</v>
      </c>
      <c r="G31" s="283"/>
      <c r="H31" s="308" t="s">
        <v>348</v>
      </c>
      <c r="I31" s="263"/>
      <c r="J31" s="318">
        <f>B27+B31+B34</f>
        <v>1843.26</v>
      </c>
      <c r="K31" s="319">
        <f>IF(AND((C25:C35)&gt;=2,(C25:C35)&lt;3),(B25+B26),0)</f>
        <v>0</v>
      </c>
      <c r="L31" s="312">
        <f>J31/B37</f>
        <v>0.3653586570652142</v>
      </c>
      <c r="M31" s="302">
        <f>L31*L21</f>
        <v>339.7835510706492</v>
      </c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</row>
    <row r="32" spans="1:28" ht="12.75" customHeight="1">
      <c r="A32" s="303">
        <f>N2</f>
        <v>200</v>
      </c>
      <c r="B32" s="304">
        <v>0</v>
      </c>
      <c r="C32" s="255">
        <f t="shared" si="0"/>
        <v>1.2</v>
      </c>
      <c r="D32" s="305">
        <f>$O$12</f>
        <v>0.8</v>
      </c>
      <c r="E32" s="306">
        <f t="shared" si="1"/>
        <v>0</v>
      </c>
      <c r="F32" s="307">
        <f t="shared" si="2"/>
        <v>0</v>
      </c>
      <c r="G32" s="283"/>
      <c r="H32" s="310" t="s">
        <v>349</v>
      </c>
      <c r="I32" s="264"/>
      <c r="J32" s="320">
        <f>B27+B28+B29+B30+B31+B32+B33+B34</f>
        <v>1843.26</v>
      </c>
      <c r="K32" s="243"/>
      <c r="L32" s="312">
        <f>J32/B37</f>
        <v>0.3653586570652142</v>
      </c>
      <c r="M32" s="302">
        <f>L32*L21</f>
        <v>339.7835510706492</v>
      </c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</row>
    <row r="33" spans="1:28" ht="12.75" customHeight="1">
      <c r="A33" s="303">
        <f>Q2</f>
        <v>250</v>
      </c>
      <c r="B33" s="304">
        <v>0</v>
      </c>
      <c r="C33" s="255">
        <f t="shared" si="0"/>
        <v>1.25</v>
      </c>
      <c r="D33" s="305">
        <f>$R$12</f>
        <v>0.85</v>
      </c>
      <c r="E33" s="306">
        <f t="shared" si="1"/>
        <v>0</v>
      </c>
      <c r="F33" s="307">
        <f t="shared" si="2"/>
        <v>0</v>
      </c>
      <c r="G33" s="283"/>
      <c r="H33" s="310" t="s">
        <v>350</v>
      </c>
      <c r="I33" s="264"/>
      <c r="J33" s="320">
        <f>B29</f>
        <v>0</v>
      </c>
      <c r="K33" s="243"/>
      <c r="L33" s="312">
        <f>J33/B37</f>
        <v>0</v>
      </c>
      <c r="M33" s="302">
        <f>L33*L21</f>
        <v>0</v>
      </c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</row>
    <row r="34" spans="1:28" ht="12.75" customHeight="1">
      <c r="A34" s="303">
        <f>Q2</f>
        <v>250</v>
      </c>
      <c r="B34" s="304">
        <v>0</v>
      </c>
      <c r="C34" s="255">
        <f t="shared" si="0"/>
        <v>1.25</v>
      </c>
      <c r="D34" s="305">
        <f>$R$12</f>
        <v>0.85</v>
      </c>
      <c r="E34" s="306">
        <f t="shared" si="1"/>
        <v>0</v>
      </c>
      <c r="F34" s="307">
        <f t="shared" si="2"/>
        <v>0</v>
      </c>
      <c r="G34" s="283"/>
      <c r="H34" s="254"/>
      <c r="I34" s="264"/>
      <c r="J34" s="321">
        <f>SUM(J31:J33)</f>
        <v>3686.52</v>
      </c>
      <c r="K34" s="243"/>
      <c r="L34" s="312">
        <f>SUM(L28:L33)</f>
        <v>1.3653586570652143</v>
      </c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</row>
    <row r="35" spans="1:28" ht="12.75" customHeight="1">
      <c r="A35" s="303">
        <f>T2</f>
        <v>315</v>
      </c>
      <c r="B35" s="304">
        <v>0</v>
      </c>
      <c r="C35" s="255">
        <f t="shared" si="0"/>
        <v>1.3149999999999999</v>
      </c>
      <c r="D35" s="305">
        <f>U12</f>
        <v>0.91500000000000004</v>
      </c>
      <c r="E35" s="306">
        <f t="shared" si="1"/>
        <v>0</v>
      </c>
      <c r="F35" s="307">
        <f t="shared" si="2"/>
        <v>0</v>
      </c>
      <c r="G35" s="283"/>
      <c r="H35" s="310" t="s">
        <v>344</v>
      </c>
      <c r="I35" s="264"/>
      <c r="J35" s="311">
        <f>J34-J38</f>
        <v>3678.2253299999998</v>
      </c>
      <c r="K35" s="243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</row>
    <row r="36" spans="1:28" ht="13.5" customHeight="1">
      <c r="A36" s="322"/>
      <c r="B36" s="323"/>
      <c r="C36" s="324"/>
      <c r="D36" s="325"/>
      <c r="E36" s="326"/>
      <c r="F36" s="327"/>
      <c r="G36" s="283"/>
      <c r="H36" s="310" t="s">
        <v>345</v>
      </c>
      <c r="I36" s="264"/>
      <c r="J36" s="311">
        <f>I30*C91/100</f>
        <v>3.6865200000000002</v>
      </c>
      <c r="K36" s="243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</row>
    <row r="37" spans="1:28" ht="13.5" customHeight="1">
      <c r="A37" s="328" t="s">
        <v>351</v>
      </c>
      <c r="B37" s="329">
        <f>SUM(B25:B36)</f>
        <v>5045.07</v>
      </c>
      <c r="C37" s="330"/>
      <c r="D37" s="331"/>
      <c r="E37" s="331">
        <f>SUM(E25:E36)</f>
        <v>3704.3759362499995</v>
      </c>
      <c r="F37" s="332">
        <f>SUM(F25:F36)</f>
        <v>4260.0323266874984</v>
      </c>
      <c r="G37" s="283"/>
      <c r="H37" s="310" t="s">
        <v>346</v>
      </c>
      <c r="I37" s="264"/>
      <c r="J37" s="311">
        <f>I30*C92/100</f>
        <v>4.6081500000000002</v>
      </c>
      <c r="K37" s="243"/>
      <c r="L37" s="244"/>
      <c r="M37" s="302">
        <f>SUM(M25:M33)</f>
        <v>1269.7835510706493</v>
      </c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</row>
    <row r="38" spans="1:28" ht="13.5" customHeight="1">
      <c r="A38" s="265"/>
      <c r="B38" s="265"/>
      <c r="C38" s="265"/>
      <c r="D38" s="265"/>
      <c r="E38" s="265"/>
      <c r="F38" s="265"/>
      <c r="G38" s="245"/>
      <c r="H38" s="313"/>
      <c r="I38" s="314"/>
      <c r="J38" s="315">
        <f>SUM(J36:J37)</f>
        <v>8.29467</v>
      </c>
      <c r="K38" s="243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</row>
    <row r="39" spans="1:28" ht="12.75" customHeight="1">
      <c r="A39" s="333" t="s">
        <v>352</v>
      </c>
      <c r="B39" s="334">
        <f>B37*1</f>
        <v>5045.07</v>
      </c>
      <c r="C39" s="244"/>
      <c r="D39" s="244"/>
      <c r="E39" s="244"/>
      <c r="F39" s="244"/>
      <c r="G39" s="244"/>
      <c r="H39" s="263"/>
      <c r="I39" s="335">
        <f>J29+J38</f>
        <v>3210.1046700000002</v>
      </c>
      <c r="J39" s="33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</row>
    <row r="40" spans="1:28" ht="12.75" customHeight="1">
      <c r="A40" s="244"/>
      <c r="B40" s="244"/>
      <c r="C40" s="244"/>
      <c r="D40" s="244"/>
      <c r="E40" s="244"/>
      <c r="F40" s="244"/>
      <c r="G40" s="244"/>
      <c r="H40" s="264"/>
      <c r="I40" s="264"/>
      <c r="J40" s="33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</row>
    <row r="41" spans="1:28" ht="12.75" customHeight="1">
      <c r="A41" s="268" t="s">
        <v>353</v>
      </c>
      <c r="B41" s="269"/>
      <c r="C41" s="270"/>
      <c r="D41" s="271"/>
      <c r="E41" s="272"/>
      <c r="F41" s="270"/>
      <c r="G41" s="268" t="s">
        <v>354</v>
      </c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</row>
    <row r="42" spans="1:28" ht="8.15" customHeight="1">
      <c r="A42" s="274"/>
      <c r="B42" s="275"/>
      <c r="C42" s="276"/>
      <c r="D42" s="277"/>
      <c r="E42" s="278"/>
      <c r="F42" s="276"/>
      <c r="G42" s="279"/>
      <c r="H42" s="279"/>
      <c r="I42" s="279"/>
      <c r="J42" s="279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</row>
    <row r="43" spans="1:28" ht="25.5" customHeight="1">
      <c r="A43" s="280" t="s">
        <v>335</v>
      </c>
      <c r="B43" s="281" t="s">
        <v>336</v>
      </c>
      <c r="C43" s="281" t="s">
        <v>337</v>
      </c>
      <c r="D43" s="281" t="s">
        <v>338</v>
      </c>
      <c r="E43" s="281" t="s">
        <v>339</v>
      </c>
      <c r="F43" s="282" t="s">
        <v>340</v>
      </c>
      <c r="G43" s="338" t="s">
        <v>355</v>
      </c>
      <c r="H43" s="339"/>
      <c r="I43" s="340"/>
      <c r="J43" s="341"/>
      <c r="K43" s="243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</row>
    <row r="44" spans="1:28" ht="13.5" customHeight="1">
      <c r="A44" s="287" t="s">
        <v>342</v>
      </c>
      <c r="B44" s="288" t="s">
        <v>179</v>
      </c>
      <c r="C44" s="288" t="s">
        <v>179</v>
      </c>
      <c r="D44" s="288" t="s">
        <v>179</v>
      </c>
      <c r="E44" s="288" t="s">
        <v>202</v>
      </c>
      <c r="F44" s="289" t="s">
        <v>202</v>
      </c>
      <c r="G44" s="342" t="s">
        <v>356</v>
      </c>
      <c r="H44" s="343" t="s">
        <v>100</v>
      </c>
      <c r="I44" s="344" t="s">
        <v>357</v>
      </c>
      <c r="J44" s="345">
        <f>J25</f>
        <v>0.63464134293478591</v>
      </c>
      <c r="K44" s="243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</row>
    <row r="45" spans="1:28" ht="12.75" customHeight="1">
      <c r="A45" s="293">
        <f t="shared" ref="A45:B55" si="3">A25</f>
        <v>75</v>
      </c>
      <c r="B45" s="294">
        <f t="shared" si="3"/>
        <v>3201.81</v>
      </c>
      <c r="C45" s="295">
        <f>$B$8</f>
        <v>0.1</v>
      </c>
      <c r="D45" s="296">
        <f t="shared" ref="D45:D55" si="4">D25</f>
        <v>0.67499999999999993</v>
      </c>
      <c r="E45" s="297">
        <f t="shared" ref="E45:E55" si="5">D45*C45*B45</f>
        <v>216.12217499999997</v>
      </c>
      <c r="F45" s="346">
        <f t="shared" ref="F45:F55" si="6">E45*(1+$B$7/100)</f>
        <v>248.54050124999995</v>
      </c>
      <c r="G45" s="347"/>
      <c r="H45" s="348"/>
      <c r="I45" s="349"/>
      <c r="J45" s="350"/>
      <c r="K45" s="243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</row>
    <row r="46" spans="1:28" ht="12.75" customHeight="1">
      <c r="A46" s="303">
        <f t="shared" si="3"/>
        <v>90</v>
      </c>
      <c r="B46" s="304">
        <f t="shared" si="3"/>
        <v>0</v>
      </c>
      <c r="C46" s="255">
        <f>$L$8</f>
        <v>0.1</v>
      </c>
      <c r="D46" s="305">
        <f t="shared" si="4"/>
        <v>0.67499999999999993</v>
      </c>
      <c r="E46" s="306">
        <f t="shared" si="5"/>
        <v>0</v>
      </c>
      <c r="F46" s="351">
        <f t="shared" si="6"/>
        <v>0</v>
      </c>
      <c r="G46" s="251" t="s">
        <v>358</v>
      </c>
      <c r="H46" s="352">
        <f>1-($C$91+$C$92)</f>
        <v>0.55000000000000004</v>
      </c>
      <c r="I46" s="353">
        <f>H46*$F$62*$J$44</f>
        <v>1623.673225902505</v>
      </c>
      <c r="J46" s="354"/>
      <c r="K46" s="243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</row>
    <row r="47" spans="1:28" ht="12.75" customHeight="1">
      <c r="A47" s="303">
        <f t="shared" si="3"/>
        <v>110</v>
      </c>
      <c r="B47" s="304">
        <f t="shared" si="3"/>
        <v>1843.26</v>
      </c>
      <c r="C47" s="255">
        <f>$L$8</f>
        <v>0.1</v>
      </c>
      <c r="D47" s="305">
        <f t="shared" si="4"/>
        <v>0.67499999999999993</v>
      </c>
      <c r="E47" s="306">
        <f t="shared" si="5"/>
        <v>124.42004999999997</v>
      </c>
      <c r="F47" s="351">
        <f t="shared" si="6"/>
        <v>143.08305749999997</v>
      </c>
      <c r="G47" s="251" t="str">
        <f>A91</f>
        <v>Intermediate</v>
      </c>
      <c r="H47" s="352">
        <f>C91</f>
        <v>0.2</v>
      </c>
      <c r="I47" s="353">
        <f>H47*$F$62*$J$44</f>
        <v>590.42662760091093</v>
      </c>
      <c r="J47" s="355"/>
      <c r="K47" s="243"/>
      <c r="L47" s="334">
        <f>0.7*F62</f>
        <v>3256.1591198062483</v>
      </c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</row>
    <row r="48" spans="1:28" ht="13.5" customHeight="1">
      <c r="A48" s="303">
        <f t="shared" si="3"/>
        <v>160</v>
      </c>
      <c r="B48" s="304">
        <f t="shared" si="3"/>
        <v>0</v>
      </c>
      <c r="C48" s="255">
        <f>$L$8</f>
        <v>0.1</v>
      </c>
      <c r="D48" s="305">
        <f t="shared" si="4"/>
        <v>0.76</v>
      </c>
      <c r="E48" s="306">
        <f t="shared" si="5"/>
        <v>0</v>
      </c>
      <c r="F48" s="351">
        <f t="shared" si="6"/>
        <v>0</v>
      </c>
      <c r="G48" s="260" t="str">
        <f>A92</f>
        <v>Hard rock</v>
      </c>
      <c r="H48" s="356">
        <f>C92</f>
        <v>0.25</v>
      </c>
      <c r="I48" s="357">
        <f>H48*$F$62*$J$44</f>
        <v>738.03328450113861</v>
      </c>
      <c r="J48" s="358"/>
      <c r="K48" s="243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</row>
    <row r="49" spans="1:28" ht="12.75" customHeight="1">
      <c r="A49" s="303">
        <f t="shared" si="3"/>
        <v>200</v>
      </c>
      <c r="B49" s="304">
        <f t="shared" si="3"/>
        <v>0</v>
      </c>
      <c r="C49" s="255">
        <f>$L$8</f>
        <v>0.1</v>
      </c>
      <c r="D49" s="305">
        <f t="shared" si="4"/>
        <v>0.76</v>
      </c>
      <c r="E49" s="306">
        <f t="shared" si="5"/>
        <v>0</v>
      </c>
      <c r="F49" s="351">
        <f t="shared" si="6"/>
        <v>0</v>
      </c>
      <c r="G49" s="359"/>
      <c r="H49" s="263"/>
      <c r="I49" s="360">
        <f>SUM(I46:I48)</f>
        <v>2952.1331380045544</v>
      </c>
      <c r="J49" s="361"/>
      <c r="K49" s="243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</row>
    <row r="50" spans="1:28" ht="12.75" customHeight="1">
      <c r="A50" s="303">
        <f t="shared" si="3"/>
        <v>250</v>
      </c>
      <c r="B50" s="304">
        <f t="shared" si="3"/>
        <v>0</v>
      </c>
      <c r="C50" s="255">
        <f>$O$8</f>
        <v>0.1</v>
      </c>
      <c r="D50" s="305">
        <f t="shared" si="4"/>
        <v>0.8</v>
      </c>
      <c r="E50" s="306">
        <f t="shared" si="5"/>
        <v>0</v>
      </c>
      <c r="F50" s="351">
        <f t="shared" si="6"/>
        <v>0</v>
      </c>
      <c r="G50" s="362"/>
      <c r="H50" s="363"/>
      <c r="I50" s="363"/>
      <c r="J50" s="364"/>
      <c r="K50" s="243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</row>
    <row r="51" spans="1:28" ht="13.5" customHeight="1">
      <c r="A51" s="303">
        <f t="shared" si="3"/>
        <v>200</v>
      </c>
      <c r="B51" s="304">
        <f t="shared" si="3"/>
        <v>0</v>
      </c>
      <c r="C51" s="255">
        <f>$O$8</f>
        <v>0.1</v>
      </c>
      <c r="D51" s="305">
        <f t="shared" si="4"/>
        <v>0.8</v>
      </c>
      <c r="E51" s="306">
        <f t="shared" si="5"/>
        <v>0</v>
      </c>
      <c r="F51" s="351">
        <f t="shared" si="6"/>
        <v>0</v>
      </c>
      <c r="G51" s="342" t="s">
        <v>356</v>
      </c>
      <c r="H51" s="343" t="s">
        <v>100</v>
      </c>
      <c r="I51" s="344" t="s">
        <v>359</v>
      </c>
      <c r="J51" s="345">
        <f>J30</f>
        <v>0.3653586570652142</v>
      </c>
      <c r="K51" s="243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</row>
    <row r="52" spans="1:28" ht="12.75" customHeight="1">
      <c r="A52" s="303">
        <f t="shared" si="3"/>
        <v>200</v>
      </c>
      <c r="B52" s="304">
        <f t="shared" si="3"/>
        <v>0</v>
      </c>
      <c r="C52" s="255">
        <f>$O$8</f>
        <v>0.1</v>
      </c>
      <c r="D52" s="305">
        <f t="shared" si="4"/>
        <v>0.8</v>
      </c>
      <c r="E52" s="306">
        <f t="shared" si="5"/>
        <v>0</v>
      </c>
      <c r="F52" s="351">
        <f t="shared" si="6"/>
        <v>0</v>
      </c>
      <c r="G52" s="365" t="s">
        <v>358</v>
      </c>
      <c r="H52" s="366">
        <f>1-($C$91+$C$92)</f>
        <v>0.55000000000000004</v>
      </c>
      <c r="I52" s="367">
        <f>H52*$F$62*$J$51</f>
        <v>934.73751108811939</v>
      </c>
      <c r="J52" s="350"/>
      <c r="K52" s="243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</row>
    <row r="53" spans="1:28" ht="12.75" customHeight="1">
      <c r="A53" s="303">
        <f t="shared" si="3"/>
        <v>250</v>
      </c>
      <c r="B53" s="304">
        <f t="shared" si="3"/>
        <v>0</v>
      </c>
      <c r="C53" s="255">
        <f>$U$8</f>
        <v>0.1</v>
      </c>
      <c r="D53" s="305">
        <f t="shared" si="4"/>
        <v>0.85</v>
      </c>
      <c r="E53" s="306">
        <f t="shared" si="5"/>
        <v>0</v>
      </c>
      <c r="F53" s="351">
        <f t="shared" si="6"/>
        <v>0</v>
      </c>
      <c r="G53" s="251" t="str">
        <f>A91</f>
        <v>Intermediate</v>
      </c>
      <c r="H53" s="352">
        <f>C91</f>
        <v>0.2</v>
      </c>
      <c r="I53" s="368">
        <f>H53*$F$62*$J$51</f>
        <v>339.90454948658885</v>
      </c>
      <c r="J53" s="355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</row>
    <row r="54" spans="1:28" ht="12.75" customHeight="1">
      <c r="A54" s="303">
        <f t="shared" si="3"/>
        <v>250</v>
      </c>
      <c r="B54" s="304">
        <f t="shared" si="3"/>
        <v>0</v>
      </c>
      <c r="C54" s="255">
        <f>$U$8</f>
        <v>0.1</v>
      </c>
      <c r="D54" s="305">
        <f t="shared" si="4"/>
        <v>0.85</v>
      </c>
      <c r="E54" s="306">
        <f t="shared" si="5"/>
        <v>0</v>
      </c>
      <c r="F54" s="351">
        <f t="shared" si="6"/>
        <v>0</v>
      </c>
      <c r="G54" s="251" t="str">
        <f>A92</f>
        <v>Hard rock</v>
      </c>
      <c r="H54" s="352">
        <f>C92</f>
        <v>0.25</v>
      </c>
      <c r="I54" s="368">
        <f>H54*$F$62*$J$51</f>
        <v>424.88068685823606</v>
      </c>
      <c r="J54" s="355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</row>
    <row r="55" spans="1:28" ht="13.5" customHeight="1">
      <c r="A55" s="322">
        <f t="shared" si="3"/>
        <v>315</v>
      </c>
      <c r="B55" s="323">
        <f t="shared" si="3"/>
        <v>0</v>
      </c>
      <c r="C55" s="324">
        <f>$U$8</f>
        <v>0.1</v>
      </c>
      <c r="D55" s="325">
        <f t="shared" si="4"/>
        <v>0.91500000000000004</v>
      </c>
      <c r="E55" s="326">
        <f t="shared" si="5"/>
        <v>0</v>
      </c>
      <c r="F55" s="369">
        <f t="shared" si="6"/>
        <v>0</v>
      </c>
      <c r="G55" s="370"/>
      <c r="H55" s="371"/>
      <c r="I55" s="372">
        <f>SUM(I52:I54)</f>
        <v>1699.5227474329442</v>
      </c>
      <c r="J55" s="358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</row>
    <row r="56" spans="1:28" ht="13.5" customHeight="1">
      <c r="A56" s="328" t="s">
        <v>351</v>
      </c>
      <c r="B56" s="373">
        <f>SUM(B45:B55)</f>
        <v>5045.07</v>
      </c>
      <c r="C56" s="374"/>
      <c r="D56" s="375"/>
      <c r="E56" s="331">
        <f>SUM(E41:E55)</f>
        <v>340.54222499999992</v>
      </c>
      <c r="F56" s="332">
        <f>SUM(F45:F55)</f>
        <v>391.62355874999992</v>
      </c>
      <c r="G56" s="376" t="s">
        <v>360</v>
      </c>
      <c r="H56" s="377"/>
      <c r="I56" s="378">
        <f>I49+I55</f>
        <v>4651.6558854374989</v>
      </c>
      <c r="J56" s="379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</row>
    <row r="57" spans="1:28" ht="12.75" customHeight="1">
      <c r="A57" s="380"/>
      <c r="B57" s="381"/>
      <c r="C57" s="263"/>
      <c r="D57" s="382"/>
      <c r="E57" s="382"/>
      <c r="F57" s="383"/>
      <c r="G57" s="265"/>
      <c r="H57" s="384"/>
      <c r="I57" s="265"/>
      <c r="J57" s="265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</row>
    <row r="58" spans="1:28" ht="12.75" customHeight="1">
      <c r="A58" s="268" t="s">
        <v>361</v>
      </c>
      <c r="B58" s="269"/>
      <c r="C58" s="264"/>
      <c r="D58" s="271"/>
      <c r="E58" s="271"/>
      <c r="F58" s="272"/>
      <c r="G58" s="244"/>
      <c r="H58" s="267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</row>
    <row r="59" spans="1:28" ht="8.15" customHeight="1">
      <c r="A59" s="385"/>
      <c r="B59" s="275"/>
      <c r="C59" s="314"/>
      <c r="D59" s="277"/>
      <c r="E59" s="277"/>
      <c r="F59" s="278"/>
      <c r="G59" s="244"/>
      <c r="H59" s="267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</row>
    <row r="60" spans="1:28" ht="15.65" customHeight="1">
      <c r="A60" s="386" t="str">
        <f>A21</f>
        <v>Excavation Volume to Pipe Invert</v>
      </c>
      <c r="B60" s="387"/>
      <c r="C60" s="387"/>
      <c r="D60" s="387"/>
      <c r="E60" s="388"/>
      <c r="F60" s="346">
        <f>F37</f>
        <v>4260.0323266874984</v>
      </c>
      <c r="G60" s="243"/>
      <c r="H60" s="267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</row>
    <row r="61" spans="1:28" ht="13.5" customHeight="1">
      <c r="A61" s="389" t="str">
        <f>A41</f>
        <v xml:space="preserve">Excavation Volume of Trench Bottom </v>
      </c>
      <c r="B61" s="390"/>
      <c r="C61" s="390"/>
      <c r="D61" s="390"/>
      <c r="E61" s="391"/>
      <c r="F61" s="369">
        <f>F56</f>
        <v>391.62355874999992</v>
      </c>
      <c r="G61" s="243"/>
      <c r="H61" s="267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</row>
    <row r="62" spans="1:28" ht="13.5" customHeight="1">
      <c r="A62" s="392" t="s">
        <v>362</v>
      </c>
      <c r="B62" s="393"/>
      <c r="C62" s="394"/>
      <c r="D62" s="395"/>
      <c r="E62" s="396"/>
      <c r="F62" s="332">
        <f>SUM(F60:F61)</f>
        <v>4651.655885437498</v>
      </c>
      <c r="G62" s="397"/>
      <c r="H62" s="398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</row>
    <row r="63" spans="1:28" ht="12.75" customHeight="1">
      <c r="A63" s="399"/>
      <c r="B63" s="400"/>
      <c r="C63" s="401"/>
      <c r="D63" s="402"/>
      <c r="E63" s="400"/>
      <c r="F63" s="383"/>
      <c r="G63" s="244"/>
      <c r="H63" s="267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</row>
    <row r="64" spans="1:28" ht="12.75" customHeight="1">
      <c r="A64" s="403"/>
      <c r="B64" s="269"/>
      <c r="C64" s="264"/>
      <c r="D64" s="271"/>
      <c r="E64" s="271"/>
      <c r="F64" s="272"/>
      <c r="G64" s="244"/>
      <c r="H64" s="267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</row>
    <row r="65" spans="1:28" ht="12.75" customHeight="1">
      <c r="A65" s="268" t="s">
        <v>363</v>
      </c>
      <c r="B65" s="244"/>
      <c r="C65" s="244"/>
      <c r="D65" s="266"/>
      <c r="E65" s="267"/>
      <c r="F65" s="266">
        <f>B7</f>
        <v>15</v>
      </c>
      <c r="G65" s="244"/>
      <c r="H65" s="267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</row>
    <row r="66" spans="1:28" ht="8.15" customHeight="1">
      <c r="A66" s="279"/>
      <c r="B66" s="279"/>
      <c r="C66" s="279"/>
      <c r="D66" s="279"/>
      <c r="E66" s="279"/>
      <c r="F66" s="279"/>
      <c r="G66" s="404"/>
      <c r="H66" s="404"/>
      <c r="I66" s="279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</row>
    <row r="67" spans="1:28" ht="38.25" customHeight="1">
      <c r="A67" s="280" t="s">
        <v>335</v>
      </c>
      <c r="B67" s="281" t="s">
        <v>336</v>
      </c>
      <c r="C67" s="281" t="s">
        <v>364</v>
      </c>
      <c r="D67" s="281" t="s">
        <v>365</v>
      </c>
      <c r="E67" s="281" t="s">
        <v>366</v>
      </c>
      <c r="F67" s="282" t="s">
        <v>367</v>
      </c>
      <c r="G67" s="280" t="s">
        <v>368</v>
      </c>
      <c r="H67" s="281" t="s">
        <v>369</v>
      </c>
      <c r="I67" s="282" t="s">
        <v>370</v>
      </c>
      <c r="J67" s="405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</row>
    <row r="68" spans="1:28" ht="13.5" customHeight="1">
      <c r="A68" s="287" t="s">
        <v>342</v>
      </c>
      <c r="B68" s="288" t="s">
        <v>179</v>
      </c>
      <c r="C68" s="288" t="s">
        <v>331</v>
      </c>
      <c r="D68" s="288" t="s">
        <v>202</v>
      </c>
      <c r="E68" s="288" t="s">
        <v>202</v>
      </c>
      <c r="F68" s="289" t="s">
        <v>202</v>
      </c>
      <c r="G68" s="287" t="s">
        <v>331</v>
      </c>
      <c r="H68" s="288" t="s">
        <v>202</v>
      </c>
      <c r="I68" s="289" t="s">
        <v>202</v>
      </c>
      <c r="J68" s="406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</row>
    <row r="69" spans="1:28" ht="12.75" customHeight="1">
      <c r="A69" s="293">
        <f t="shared" ref="A69:B79" si="7">A25</f>
        <v>75</v>
      </c>
      <c r="B69" s="294">
        <f t="shared" si="7"/>
        <v>3201.81</v>
      </c>
      <c r="C69" s="407">
        <f>$B$14</f>
        <v>0.18120713533088934</v>
      </c>
      <c r="D69" s="297">
        <f t="shared" ref="D69:D79" si="8">C69*B69*(1+$B$7/100)</f>
        <v>667.21944066986396</v>
      </c>
      <c r="E69" s="297">
        <f t="shared" ref="E69:E79" si="9">(A69/1000)^2*PI()/4*B69</f>
        <v>14.14516327620516</v>
      </c>
      <c r="F69" s="346">
        <f t="shared" ref="F69:F79" si="10">(D69-E69)*(1+($B$7/100))</f>
        <v>751.03541900270761</v>
      </c>
      <c r="G69" s="408">
        <f t="shared" ref="G69:G79" si="11">$O$12*$O$11</f>
        <v>0.16000000000000003</v>
      </c>
      <c r="H69" s="297">
        <f t="shared" ref="H69:H79" si="12">G69*B69</f>
        <v>512.28960000000006</v>
      </c>
      <c r="I69" s="346">
        <f t="shared" ref="I69:I79" si="13">H69*(1+$B$7/100)</f>
        <v>589.13304000000005</v>
      </c>
      <c r="J69" s="409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</row>
    <row r="70" spans="1:28" ht="12.75" customHeight="1">
      <c r="A70" s="303">
        <f t="shared" si="7"/>
        <v>90</v>
      </c>
      <c r="B70" s="304">
        <f t="shared" si="7"/>
        <v>0</v>
      </c>
      <c r="C70" s="252">
        <f>$L$14</f>
        <v>0.25349380701702534</v>
      </c>
      <c r="D70" s="306">
        <f t="shared" si="8"/>
        <v>0</v>
      </c>
      <c r="E70" s="306">
        <f t="shared" si="9"/>
        <v>0</v>
      </c>
      <c r="F70" s="351">
        <f t="shared" si="10"/>
        <v>0</v>
      </c>
      <c r="G70" s="410">
        <f t="shared" si="11"/>
        <v>0.16000000000000003</v>
      </c>
      <c r="H70" s="306">
        <f t="shared" si="12"/>
        <v>0</v>
      </c>
      <c r="I70" s="351">
        <f t="shared" si="13"/>
        <v>0</v>
      </c>
      <c r="J70" s="409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</row>
    <row r="71" spans="1:28" ht="12.75" customHeight="1">
      <c r="A71" s="303">
        <f t="shared" si="7"/>
        <v>110</v>
      </c>
      <c r="B71" s="304">
        <f t="shared" si="7"/>
        <v>1843.26</v>
      </c>
      <c r="C71" s="252">
        <f>$L$14</f>
        <v>0.25349380701702534</v>
      </c>
      <c r="D71" s="306">
        <f t="shared" si="8"/>
        <v>537.34324393053237</v>
      </c>
      <c r="E71" s="306">
        <f t="shared" si="9"/>
        <v>17.517085525834165</v>
      </c>
      <c r="F71" s="351">
        <f t="shared" si="10"/>
        <v>597.80008216540284</v>
      </c>
      <c r="G71" s="410">
        <f t="shared" si="11"/>
        <v>0.16000000000000003</v>
      </c>
      <c r="H71" s="306">
        <f t="shared" si="12"/>
        <v>294.92160000000007</v>
      </c>
      <c r="I71" s="351">
        <f t="shared" si="13"/>
        <v>339.15984000000003</v>
      </c>
      <c r="J71" s="409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</row>
    <row r="72" spans="1:28" ht="12.75" customHeight="1">
      <c r="A72" s="303">
        <f t="shared" si="7"/>
        <v>160</v>
      </c>
      <c r="B72" s="304">
        <f t="shared" si="7"/>
        <v>0</v>
      </c>
      <c r="C72" s="252">
        <f>$L$14</f>
        <v>0.25349380701702534</v>
      </c>
      <c r="D72" s="306">
        <f t="shared" si="8"/>
        <v>0</v>
      </c>
      <c r="E72" s="306">
        <f t="shared" si="9"/>
        <v>0</v>
      </c>
      <c r="F72" s="351">
        <f t="shared" si="10"/>
        <v>0</v>
      </c>
      <c r="G72" s="410">
        <f t="shared" si="11"/>
        <v>0.16000000000000003</v>
      </c>
      <c r="H72" s="306">
        <f t="shared" si="12"/>
        <v>0</v>
      </c>
      <c r="I72" s="351">
        <f t="shared" si="13"/>
        <v>0</v>
      </c>
      <c r="J72" s="409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</row>
    <row r="73" spans="1:28" ht="12.75" customHeight="1">
      <c r="A73" s="303">
        <f t="shared" si="7"/>
        <v>200</v>
      </c>
      <c r="B73" s="304">
        <f t="shared" si="7"/>
        <v>0</v>
      </c>
      <c r="C73" s="252">
        <f>$L$14</f>
        <v>0.25349380701702534</v>
      </c>
      <c r="D73" s="306">
        <f t="shared" si="8"/>
        <v>0</v>
      </c>
      <c r="E73" s="306">
        <f t="shared" si="9"/>
        <v>0</v>
      </c>
      <c r="F73" s="351">
        <f t="shared" si="10"/>
        <v>0</v>
      </c>
      <c r="G73" s="410">
        <f t="shared" si="11"/>
        <v>0.16000000000000003</v>
      </c>
      <c r="H73" s="306">
        <f t="shared" si="12"/>
        <v>0</v>
      </c>
      <c r="I73" s="351">
        <f t="shared" si="13"/>
        <v>0</v>
      </c>
      <c r="J73" s="409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</row>
    <row r="74" spans="1:28" ht="12.75" customHeight="1">
      <c r="A74" s="303">
        <f t="shared" si="7"/>
        <v>250</v>
      </c>
      <c r="B74" s="304">
        <f t="shared" si="7"/>
        <v>0</v>
      </c>
      <c r="C74" s="252">
        <f>$O$14</f>
        <v>0.28858407346410214</v>
      </c>
      <c r="D74" s="306">
        <f t="shared" si="8"/>
        <v>0</v>
      </c>
      <c r="E74" s="306">
        <f t="shared" si="9"/>
        <v>0</v>
      </c>
      <c r="F74" s="351">
        <f t="shared" si="10"/>
        <v>0</v>
      </c>
      <c r="G74" s="410">
        <f t="shared" si="11"/>
        <v>0.16000000000000003</v>
      </c>
      <c r="H74" s="306">
        <f t="shared" si="12"/>
        <v>0</v>
      </c>
      <c r="I74" s="351">
        <f t="shared" si="13"/>
        <v>0</v>
      </c>
      <c r="J74" s="409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</row>
    <row r="75" spans="1:28" ht="12.75" customHeight="1">
      <c r="A75" s="303">
        <f t="shared" si="7"/>
        <v>200</v>
      </c>
      <c r="B75" s="304">
        <f t="shared" si="7"/>
        <v>0</v>
      </c>
      <c r="C75" s="252">
        <f>$O$14</f>
        <v>0.28858407346410214</v>
      </c>
      <c r="D75" s="306">
        <f t="shared" si="8"/>
        <v>0</v>
      </c>
      <c r="E75" s="306">
        <f t="shared" si="9"/>
        <v>0</v>
      </c>
      <c r="F75" s="351">
        <f t="shared" si="10"/>
        <v>0</v>
      </c>
      <c r="G75" s="410">
        <f t="shared" si="11"/>
        <v>0.16000000000000003</v>
      </c>
      <c r="H75" s="306">
        <f t="shared" si="12"/>
        <v>0</v>
      </c>
      <c r="I75" s="351">
        <f t="shared" si="13"/>
        <v>0</v>
      </c>
      <c r="J75" s="409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</row>
    <row r="76" spans="1:28" ht="12.75" customHeight="1">
      <c r="A76" s="303">
        <f t="shared" si="7"/>
        <v>200</v>
      </c>
      <c r="B76" s="304">
        <f t="shared" si="7"/>
        <v>0</v>
      </c>
      <c r="C76" s="252">
        <f>$O$14</f>
        <v>0.28858407346410214</v>
      </c>
      <c r="D76" s="306">
        <f t="shared" si="8"/>
        <v>0</v>
      </c>
      <c r="E76" s="306">
        <f t="shared" si="9"/>
        <v>0</v>
      </c>
      <c r="F76" s="351">
        <f t="shared" si="10"/>
        <v>0</v>
      </c>
      <c r="G76" s="410">
        <f t="shared" si="11"/>
        <v>0.16000000000000003</v>
      </c>
      <c r="H76" s="306">
        <f t="shared" si="12"/>
        <v>0</v>
      </c>
      <c r="I76" s="351">
        <f t="shared" si="13"/>
        <v>0</v>
      </c>
      <c r="J76" s="409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</row>
    <row r="77" spans="1:28" ht="12.75" customHeight="1">
      <c r="A77" s="303">
        <f t="shared" si="7"/>
        <v>250</v>
      </c>
      <c r="B77" s="304">
        <f t="shared" si="7"/>
        <v>0</v>
      </c>
      <c r="C77" s="252">
        <f>$R$14</f>
        <v>0.33341261478765949</v>
      </c>
      <c r="D77" s="306">
        <f t="shared" si="8"/>
        <v>0</v>
      </c>
      <c r="E77" s="306">
        <f t="shared" si="9"/>
        <v>0</v>
      </c>
      <c r="F77" s="351">
        <f t="shared" si="10"/>
        <v>0</v>
      </c>
      <c r="G77" s="410">
        <f t="shared" si="11"/>
        <v>0.16000000000000003</v>
      </c>
      <c r="H77" s="306">
        <f t="shared" si="12"/>
        <v>0</v>
      </c>
      <c r="I77" s="351">
        <f t="shared" si="13"/>
        <v>0</v>
      </c>
      <c r="J77" s="409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</row>
    <row r="78" spans="1:28" ht="12.75" customHeight="1">
      <c r="A78" s="303">
        <f t="shared" si="7"/>
        <v>250</v>
      </c>
      <c r="B78" s="304">
        <f t="shared" si="7"/>
        <v>0</v>
      </c>
      <c r="C78" s="252">
        <f>$R$14</f>
        <v>0.33341261478765949</v>
      </c>
      <c r="D78" s="306">
        <f t="shared" si="8"/>
        <v>0</v>
      </c>
      <c r="E78" s="306">
        <f t="shared" si="9"/>
        <v>0</v>
      </c>
      <c r="F78" s="351">
        <f t="shared" si="10"/>
        <v>0</v>
      </c>
      <c r="G78" s="410">
        <f t="shared" si="11"/>
        <v>0.16000000000000003</v>
      </c>
      <c r="H78" s="306">
        <f t="shared" si="12"/>
        <v>0</v>
      </c>
      <c r="I78" s="351">
        <f t="shared" si="13"/>
        <v>0</v>
      </c>
      <c r="J78" s="409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</row>
    <row r="79" spans="1:28" ht="12.75" customHeight="1">
      <c r="A79" s="303">
        <f t="shared" si="7"/>
        <v>315</v>
      </c>
      <c r="B79" s="304">
        <f t="shared" si="7"/>
        <v>0</v>
      </c>
      <c r="C79" s="252">
        <f>R14</f>
        <v>0.33341261478765949</v>
      </c>
      <c r="D79" s="306">
        <f t="shared" si="8"/>
        <v>0</v>
      </c>
      <c r="E79" s="306">
        <f t="shared" si="9"/>
        <v>0</v>
      </c>
      <c r="F79" s="351">
        <f t="shared" si="10"/>
        <v>0</v>
      </c>
      <c r="G79" s="410">
        <f t="shared" si="11"/>
        <v>0.16000000000000003</v>
      </c>
      <c r="H79" s="306">
        <f t="shared" si="12"/>
        <v>0</v>
      </c>
      <c r="I79" s="351">
        <f t="shared" si="13"/>
        <v>0</v>
      </c>
      <c r="J79" s="409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</row>
    <row r="80" spans="1:28" ht="13.5" customHeight="1">
      <c r="A80" s="322"/>
      <c r="B80" s="323"/>
      <c r="C80" s="411"/>
      <c r="D80" s="326"/>
      <c r="E80" s="326"/>
      <c r="F80" s="369"/>
      <c r="G80" s="412"/>
      <c r="H80" s="326"/>
      <c r="I80" s="369"/>
      <c r="J80" s="409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</row>
    <row r="81" spans="1:28" ht="13.5" customHeight="1">
      <c r="A81" s="328" t="s">
        <v>351</v>
      </c>
      <c r="B81" s="373"/>
      <c r="C81" s="374"/>
      <c r="D81" s="375">
        <f>SUM(D69:D80)</f>
        <v>1204.5626846003963</v>
      </c>
      <c r="E81" s="331">
        <f>SUM(E69:E80)</f>
        <v>31.662248802039326</v>
      </c>
      <c r="F81" s="332">
        <f>SUM(F69:F80)</f>
        <v>1348.8355011681106</v>
      </c>
      <c r="G81" s="413"/>
      <c r="H81" s="331">
        <f>SUM(H69:H80)</f>
        <v>807.21120000000019</v>
      </c>
      <c r="I81" s="332">
        <f>SUM(I69:I80)</f>
        <v>928.29288000000008</v>
      </c>
      <c r="J81" s="409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</row>
    <row r="82" spans="1:28" ht="13.5" customHeight="1">
      <c r="A82" s="414"/>
      <c r="B82" s="373"/>
      <c r="C82" s="415" t="s">
        <v>100</v>
      </c>
      <c r="D82" s="375"/>
      <c r="E82" s="331"/>
      <c r="F82" s="332"/>
      <c r="G82" s="416" t="s">
        <v>100</v>
      </c>
      <c r="H82" s="331"/>
      <c r="I82" s="332"/>
      <c r="J82" s="409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</row>
    <row r="83" spans="1:28" ht="12.75" customHeight="1">
      <c r="A83" s="417" t="s">
        <v>371</v>
      </c>
      <c r="B83" s="418"/>
      <c r="C83" s="419">
        <f>100%-C85</f>
        <v>0.65</v>
      </c>
      <c r="D83" s="297">
        <f>C83*D$81</f>
        <v>782.96574499025769</v>
      </c>
      <c r="E83" s="297">
        <f>C83/100*E$81</f>
        <v>0.20580461721325563</v>
      </c>
      <c r="F83" s="346">
        <f>(D83-E83)*(1+$B$7/100)</f>
        <v>900.17393142900096</v>
      </c>
      <c r="G83" s="420">
        <f>100%-G85</f>
        <v>0.65</v>
      </c>
      <c r="H83" s="297">
        <f>G83*H$81</f>
        <v>524.6872800000001</v>
      </c>
      <c r="I83" s="346">
        <f>H83*(1+$B$7/100)</f>
        <v>603.39037200000007</v>
      </c>
      <c r="J83" s="409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</row>
    <row r="84" spans="1:28" ht="12.75" customHeight="1">
      <c r="A84" s="421" t="s">
        <v>372</v>
      </c>
      <c r="B84" s="422"/>
      <c r="C84" s="423">
        <v>0</v>
      </c>
      <c r="D84" s="306">
        <f>C84*D$81</f>
        <v>0</v>
      </c>
      <c r="E84" s="306">
        <f>D84/100*E$81</f>
        <v>0</v>
      </c>
      <c r="F84" s="351">
        <f>(D84-E84)*(1+$B$7/100)</f>
        <v>0</v>
      </c>
      <c r="G84" s="424">
        <v>0</v>
      </c>
      <c r="H84" s="306">
        <f>G84*H$81</f>
        <v>0</v>
      </c>
      <c r="I84" s="351">
        <f>H84*(1+$B$7/100)</f>
        <v>0</v>
      </c>
      <c r="J84" s="409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</row>
    <row r="85" spans="1:28" ht="13.5" customHeight="1">
      <c r="A85" s="425" t="s">
        <v>373</v>
      </c>
      <c r="B85" s="426"/>
      <c r="C85" s="427">
        <f>C92+C91/2</f>
        <v>0.35</v>
      </c>
      <c r="D85" s="326">
        <f>C85*D$81</f>
        <v>421.59693961013869</v>
      </c>
      <c r="E85" s="326">
        <f>C85/100*E$81</f>
        <v>0.11081787080713763</v>
      </c>
      <c r="F85" s="369">
        <f>(D85-E85)*(1+$B$7/100)</f>
        <v>484.70904000023125</v>
      </c>
      <c r="G85" s="428">
        <f>C92+C91/2</f>
        <v>0.35</v>
      </c>
      <c r="H85" s="326">
        <f>G85*H$81</f>
        <v>282.52392000000003</v>
      </c>
      <c r="I85" s="369">
        <f>H85*(1+$B$7/100)</f>
        <v>324.90250800000001</v>
      </c>
      <c r="J85" s="409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</row>
    <row r="86" spans="1:28" ht="13.5" customHeight="1">
      <c r="A86" s="328" t="s">
        <v>374</v>
      </c>
      <c r="B86" s="429"/>
      <c r="C86" s="430">
        <f t="shared" ref="C86:I86" si="14">SUM(C83:C85)</f>
        <v>1</v>
      </c>
      <c r="D86" s="331">
        <f t="shared" si="14"/>
        <v>1204.5626846003963</v>
      </c>
      <c r="E86" s="331">
        <f t="shared" si="14"/>
        <v>0.31662248802039328</v>
      </c>
      <c r="F86" s="431">
        <f t="shared" si="14"/>
        <v>1384.8829714292322</v>
      </c>
      <c r="G86" s="430">
        <f t="shared" si="14"/>
        <v>1</v>
      </c>
      <c r="H86" s="331">
        <f t="shared" si="14"/>
        <v>807.21120000000019</v>
      </c>
      <c r="I86" s="332">
        <f t="shared" si="14"/>
        <v>928.29288000000008</v>
      </c>
      <c r="J86" s="409"/>
      <c r="K86" s="334">
        <f>F83+I83+F85+I85+F93</f>
        <v>2425.7676245698572</v>
      </c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</row>
    <row r="87" spans="1:28" ht="12.75" customHeight="1">
      <c r="A87" s="380"/>
      <c r="B87" s="381"/>
      <c r="C87" s="432"/>
      <c r="D87" s="382"/>
      <c r="E87" s="382"/>
      <c r="F87" s="383"/>
      <c r="G87" s="432"/>
      <c r="H87" s="382"/>
      <c r="I87" s="383"/>
      <c r="J87" s="272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</row>
    <row r="88" spans="1:28" ht="12.75" customHeight="1">
      <c r="A88" s="268" t="s">
        <v>375</v>
      </c>
      <c r="B88" s="269"/>
      <c r="C88" s="264"/>
      <c r="D88" s="271"/>
      <c r="E88" s="271"/>
      <c r="F88" s="272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</row>
    <row r="89" spans="1:28" ht="8.15" customHeight="1">
      <c r="A89" s="385"/>
      <c r="B89" s="275"/>
      <c r="C89" s="314"/>
      <c r="D89" s="277"/>
      <c r="E89" s="277"/>
      <c r="F89" s="278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</row>
    <row r="90" spans="1:28" ht="12.75" customHeight="1">
      <c r="A90" s="433"/>
      <c r="B90" s="418"/>
      <c r="C90" s="434" t="s">
        <v>100</v>
      </c>
      <c r="D90" s="435"/>
      <c r="E90" s="434" t="s">
        <v>202</v>
      </c>
      <c r="F90" s="436" t="s">
        <v>202</v>
      </c>
      <c r="G90" s="243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</row>
    <row r="91" spans="1:28" ht="12.75" customHeight="1">
      <c r="A91" s="421" t="s">
        <v>376</v>
      </c>
      <c r="B91" s="422"/>
      <c r="C91" s="423">
        <v>0.2</v>
      </c>
      <c r="D91" s="306"/>
      <c r="E91" s="306">
        <f>C91*F37</f>
        <v>852.00646533749978</v>
      </c>
      <c r="F91" s="351">
        <f>E91*(1+$B$7/100)</f>
        <v>979.80743513812467</v>
      </c>
      <c r="G91" s="243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</row>
    <row r="92" spans="1:28" ht="12.75" customHeight="1">
      <c r="A92" s="421" t="s">
        <v>377</v>
      </c>
      <c r="B92" s="422"/>
      <c r="C92" s="423">
        <v>0.25</v>
      </c>
      <c r="D92" s="306"/>
      <c r="E92" s="306">
        <f>C92*F37</f>
        <v>1065.0080816718746</v>
      </c>
      <c r="F92" s="351">
        <f>E92*(1+$B$7/100)</f>
        <v>1224.7592939226556</v>
      </c>
      <c r="G92" s="243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</row>
    <row r="93" spans="1:28" ht="12.75" customHeight="1">
      <c r="A93" s="421" t="s">
        <v>378</v>
      </c>
      <c r="B93" s="422"/>
      <c r="C93" s="423">
        <v>0.25</v>
      </c>
      <c r="D93" s="306"/>
      <c r="E93" s="306">
        <f>C93*F61</f>
        <v>97.905889687499979</v>
      </c>
      <c r="F93" s="351">
        <f>E93*(1+$B$7/100)</f>
        <v>112.59177314062497</v>
      </c>
      <c r="G93" s="243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</row>
    <row r="94" spans="1:28" ht="12.75" customHeight="1">
      <c r="A94" s="421" t="s">
        <v>379</v>
      </c>
      <c r="B94" s="437"/>
      <c r="C94" s="438"/>
      <c r="D94" s="439"/>
      <c r="E94" s="306"/>
      <c r="F94" s="351">
        <f>F62-F81-I81</f>
        <v>2374.5275042693875</v>
      </c>
      <c r="G94" s="243"/>
      <c r="H94" s="244"/>
      <c r="I94" s="244"/>
      <c r="J94" s="244"/>
      <c r="K94" s="244"/>
      <c r="L94" s="244"/>
      <c r="M94" s="334">
        <f>F94</f>
        <v>2374.5275042693875</v>
      </c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</row>
    <row r="95" spans="1:28" ht="12.75" customHeight="1">
      <c r="A95" s="421" t="s">
        <v>380</v>
      </c>
      <c r="B95" s="437"/>
      <c r="C95" s="438"/>
      <c r="D95" s="439"/>
      <c r="E95" s="306"/>
      <c r="F95" s="351">
        <f>F62-F83-I83-F91-F92</f>
        <v>943.52485294771714</v>
      </c>
      <c r="G95" s="243"/>
      <c r="H95" s="244"/>
      <c r="I95" s="440">
        <f>5.5*31</f>
        <v>170.5</v>
      </c>
      <c r="J95" s="244"/>
      <c r="K95" s="244"/>
      <c r="L95" s="244"/>
      <c r="M95" s="33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</row>
    <row r="96" spans="1:28" ht="12.75" customHeight="1">
      <c r="A96" s="421" t="s">
        <v>381</v>
      </c>
      <c r="B96" s="437"/>
      <c r="C96" s="438"/>
      <c r="D96" s="439"/>
      <c r="E96" s="306"/>
      <c r="F96" s="351">
        <f>IF(F95&lt;F94,F94-F95,0)</f>
        <v>1431.0026513216703</v>
      </c>
      <c r="G96" s="243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</row>
    <row r="97" spans="1:28" ht="13.5" customHeight="1">
      <c r="A97" s="425" t="s">
        <v>382</v>
      </c>
      <c r="B97" s="441"/>
      <c r="C97" s="442"/>
      <c r="D97" s="443"/>
      <c r="E97" s="326"/>
      <c r="F97" s="369">
        <f>F84+F85+I84+I85+F91+F92+F93</f>
        <v>3126.7700502016364</v>
      </c>
      <c r="G97" s="243"/>
      <c r="H97" s="244"/>
      <c r="I97" s="244"/>
      <c r="J97" s="244"/>
      <c r="K97" s="244"/>
      <c r="L97" s="244"/>
      <c r="M97" s="334">
        <f>SUM(K86:K96)</f>
        <v>2425.7676245698572</v>
      </c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</row>
    <row r="98" spans="1:28" ht="12.75" customHeight="1">
      <c r="A98" s="444" t="s">
        <v>383</v>
      </c>
      <c r="B98" s="265"/>
      <c r="C98" s="265"/>
      <c r="D98" s="265"/>
      <c r="E98" s="265"/>
      <c r="F98" s="265"/>
      <c r="G98" s="244"/>
      <c r="H98" s="244"/>
      <c r="I98" s="244"/>
      <c r="J98" s="244"/>
      <c r="K98" s="244"/>
      <c r="L98" s="244"/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</row>
  </sheetData>
  <mergeCells count="21">
    <mergeCell ref="AA4:AB4"/>
    <mergeCell ref="X4:Y4"/>
    <mergeCell ref="U4:V4"/>
    <mergeCell ref="AA3:AB3"/>
    <mergeCell ref="Z1:AB1"/>
    <mergeCell ref="X3:Y3"/>
    <mergeCell ref="W1:Y1"/>
    <mergeCell ref="U3:V3"/>
    <mergeCell ref="B4:C4"/>
    <mergeCell ref="T1:V1"/>
    <mergeCell ref="B3:C3"/>
    <mergeCell ref="N1:P1"/>
    <mergeCell ref="R4:S4"/>
    <mergeCell ref="K1:M1"/>
    <mergeCell ref="L3:M3"/>
    <mergeCell ref="A1:C1"/>
    <mergeCell ref="L4:M4"/>
    <mergeCell ref="R3:S3"/>
    <mergeCell ref="Q1:S1"/>
    <mergeCell ref="O3:P3"/>
    <mergeCell ref="O4:P4"/>
  </mergeCells>
  <pageMargins left="0.53" right="0.33" top="1.04" bottom="0.5" header="0.5" footer="0.5"/>
  <pageSetup orientation="portrait"/>
  <headerFooter>
    <oddHeader>&amp;R&amp;"Arial,Italic"&amp;8&amp;K000000/Volumes/OfficeFiles/Projects/QUALIS CONSULTANTS/PROJECTS/Mogalakwena Local Municipality/Moordkoppie Mini Water Scheme 22/BoQ/BOQ Per villages/Ditlotswane.xlsx</oddHeader>
    <oddFooter>&amp;L&amp;"Arial,Regular"&amp;9&amp;K000000/Volumes/OfficeFiles/Projects/QUALIS CONSULTANTS/PROJECTS/Mogalakwena Local Municipality/Moordkoppie Mini Water Scheme 22/BoQ/BOQ Per villages/Ditlotswane.xlsx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Export Summary</vt:lpstr>
      <vt:lpstr>Sched1 P&amp;G</vt:lpstr>
      <vt:lpstr>Sched2 Site Clearance</vt:lpstr>
      <vt:lpstr>Sched3 Wat Earthworks</vt:lpstr>
      <vt:lpstr>Sched4 Wat Pipeworks</vt:lpstr>
      <vt:lpstr>Summary</vt:lpstr>
      <vt:lpstr>Flexible  (2)</vt:lpstr>
      <vt:lpstr>Flexible Bulk Steel</vt:lpstr>
      <vt:lpstr>Flexible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Tafadzwa Msonzah</cp:lastModifiedBy>
  <cp:lastPrinted>2020-12-09T12:06:48Z</cp:lastPrinted>
  <dcterms:created xsi:type="dcterms:W3CDTF">2020-12-09T08:52:22Z</dcterms:created>
  <dcterms:modified xsi:type="dcterms:W3CDTF">2020-12-09T12:07:44Z</dcterms:modified>
</cp:coreProperties>
</file>